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dgardo.vazquez\Downloads\"/>
    </mc:Choice>
  </mc:AlternateContent>
  <xr:revisionPtr revIDLastSave="0" documentId="8_{00C63F02-1EE4-467E-A088-F2A981478992}" xr6:coauthVersionLast="47" xr6:coauthVersionMax="47" xr10:uidLastSave="{00000000-0000-0000-0000-000000000000}"/>
  <bookViews>
    <workbookView xWindow="29580" yWindow="-3990" windowWidth="21600" windowHeight="11235" firstSheet="2" activeTab="2" xr2:uid="{00000000-000D-0000-FFFF-FFFF00000000}"/>
  </bookViews>
  <sheets>
    <sheet name="UsefulFormats" sheetId="2" state="hidden" r:id="rId1"/>
    <sheet name="Intro" sheetId="10" state="hidden" r:id="rId2"/>
    <sheet name="Worksheet for RENTAL" sheetId="3" r:id="rId3"/>
    <sheet name="Worksheet for OWNERSHIP" sheetId="16" r:id="rId4"/>
    <sheet name="Worksheet for OWNERSHIP (old)" sheetId="14" state="hidden" r:id="rId5"/>
    <sheet name="Policy Parameters" sheetId="15" r:id="rId6"/>
    <sheet name="Data Tables" sheetId="8" r:id="rId7"/>
    <sheet name="Policy Summary" sheetId="11" r:id="rId8"/>
    <sheet name="Sheet2" sheetId="13" state="hidden" r:id="rId9"/>
  </sheets>
  <externalReferences>
    <externalReference r:id="rId10"/>
  </externalReferences>
  <definedNames>
    <definedName name="alled">#REF!</definedName>
    <definedName name="allstem">#REF!</definedName>
    <definedName name="Down_Payment">'[1]3.LendingAssump'!$B$4</definedName>
    <definedName name="Hazard_Insurance_Rate">'[1]3.LendingAssump'!$B$13</definedName>
    <definedName name="HOA_Dues">'[1]3.LendingAssump'!$B$9</definedName>
    <definedName name="Interest_Rate">'[1]3.LendingAssump'!$B$6</definedName>
    <definedName name="Loan_Term_Yrs">'[1]3.LendingAssump'!$B$7</definedName>
    <definedName name="LTV">'[1]3.LendingAssump'!$B$5</definedName>
    <definedName name="Max_LowIncOwner_Cost">'[1]1.IncomeAssump'!$B$41</definedName>
    <definedName name="Max_ModIncOwner_Cost">'[1]1.IncomeAssump'!$B$42</definedName>
    <definedName name="Max_Rent">'[1]1.IncomeAssump'!$B$40</definedName>
    <definedName name="oesdata">#REF!</definedName>
    <definedName name="PMI_Rate" comment="Annual">'[1]3.LendingAssump'!$B$12</definedName>
    <definedName name="_xlnm.Print_Area" localSheetId="3">'Worksheet for OWNERSHIP'!$B$1:$K$44</definedName>
    <definedName name="_xlnm.Print_Area" localSheetId="4">'Worksheet for OWNERSHIP (old)'!$A$1:$J$18</definedName>
    <definedName name="_xlnm.Print_Area" localSheetId="2">'Worksheet for RENTAL'!$B$1:$K$44</definedName>
    <definedName name="_xlnm.Print_Area">#REF!</definedName>
    <definedName name="Property_Tax_Rate">'[1]3.LendingAssump'!$B$11</definedName>
    <definedName name="Utility_0BR_Renter">'[1]2.UtilityAssump'!$B$13</definedName>
    <definedName name="Utility_1BR_Owner_MF">'[1]2.UtilityAssump'!$C$14</definedName>
    <definedName name="Utility_1BR_Renter">'[1]2.UtilityAssump'!$C$13</definedName>
    <definedName name="Utility_2BR_Owner_MF">'[1]2.UtilityAssump'!$D$14</definedName>
    <definedName name="Utility_2BR_Renter">'[1]2.UtilityAssump'!$D$13</definedName>
    <definedName name="Utility_3BR_Owner_MF">'[1]2.UtilityAssump'!$E$14</definedName>
    <definedName name="Utility_3BR_Renter">'[1]2.UtilityAssump'!$E$13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6" l="1"/>
  <c r="N11" i="16"/>
  <c r="B8" i="16"/>
  <c r="C9" i="16"/>
  <c r="H10" i="16" s="1"/>
  <c r="H11" i="16" s="1"/>
  <c r="N8" i="16" s="1"/>
  <c r="F30" i="16" s="1"/>
  <c r="C11" i="16"/>
  <c r="D11" i="16"/>
  <c r="C12" i="16"/>
  <c r="F11" i="16"/>
  <c r="C11" i="3"/>
  <c r="I9" i="3" s="1"/>
  <c r="C10" i="3"/>
  <c r="K10" i="3" s="1"/>
  <c r="C9" i="3"/>
  <c r="M19" i="8"/>
  <c r="N19" i="8" s="1"/>
  <c r="V28" i="8" s="1"/>
  <c r="F11" i="3"/>
  <c r="C12" i="13"/>
  <c r="C13" i="13"/>
  <c r="C14" i="13"/>
  <c r="C15" i="13"/>
  <c r="D15" i="13" s="1"/>
  <c r="C16" i="13"/>
  <c r="D16" i="13" s="1"/>
  <c r="C17" i="13"/>
  <c r="C18" i="13"/>
  <c r="C19" i="13"/>
  <c r="C20" i="13"/>
  <c r="D20" i="13" s="1"/>
  <c r="C21" i="13"/>
  <c r="D21" i="13" s="1"/>
  <c r="C22" i="13"/>
  <c r="C23" i="13"/>
  <c r="D23" i="13"/>
  <c r="C24" i="13"/>
  <c r="D24" i="13" s="1"/>
  <c r="C25" i="13"/>
  <c r="D25" i="13" s="1"/>
  <c r="C5" i="13"/>
  <c r="D5" i="13" s="1"/>
  <c r="C6" i="13"/>
  <c r="C7" i="13"/>
  <c r="C8" i="13"/>
  <c r="C9" i="13"/>
  <c r="D9" i="13" s="1"/>
  <c r="C10" i="13"/>
  <c r="D10" i="13" s="1"/>
  <c r="C4" i="13"/>
  <c r="D4" i="13" s="1"/>
  <c r="N11" i="3"/>
  <c r="B8" i="3"/>
  <c r="N5" i="3"/>
  <c r="K10" i="16" l="1"/>
  <c r="K11" i="16" s="1"/>
  <c r="F28" i="16"/>
  <c r="N9" i="16"/>
  <c r="N12" i="16" s="1"/>
  <c r="N6" i="16"/>
  <c r="O28" i="8"/>
  <c r="N28" i="8"/>
  <c r="R25" i="8"/>
  <c r="Q28" i="8"/>
  <c r="V26" i="8"/>
  <c r="P27" i="8"/>
  <c r="S25" i="8"/>
  <c r="R28" i="8"/>
  <c r="T27" i="8"/>
  <c r="O27" i="8"/>
  <c r="Q26" i="8"/>
  <c r="S28" i="8"/>
  <c r="U27" i="8"/>
  <c r="N25" i="8"/>
  <c r="N27" i="8"/>
  <c r="R26" i="8"/>
  <c r="T25" i="8"/>
  <c r="V27" i="8"/>
  <c r="P25" i="8"/>
  <c r="P26" i="8"/>
  <c r="S26" i="8"/>
  <c r="U25" i="8"/>
  <c r="T28" i="8"/>
  <c r="Q25" i="8"/>
  <c r="S27" i="8"/>
  <c r="U26" i="8"/>
  <c r="O25" i="8"/>
  <c r="O26" i="8"/>
  <c r="Q27" i="8"/>
  <c r="V25" i="8"/>
  <c r="U28" i="8"/>
  <c r="P28" i="8"/>
  <c r="N26" i="8"/>
  <c r="R27" i="8"/>
  <c r="T26" i="8"/>
  <c r="B19" i="8"/>
  <c r="C19" i="8" s="1"/>
  <c r="N13" i="16" l="1"/>
  <c r="I30" i="16" s="1"/>
  <c r="N10" i="16"/>
  <c r="I28" i="16" s="1"/>
  <c r="S22" i="16"/>
  <c r="E22" i="16" s="1"/>
  <c r="Q23" i="16"/>
  <c r="C23" i="16" s="1"/>
  <c r="N7" i="16"/>
  <c r="R23" i="16"/>
  <c r="D23" i="16" s="1"/>
  <c r="S21" i="16"/>
  <c r="E21" i="16" s="1"/>
  <c r="Q22" i="16"/>
  <c r="C22" i="16" s="1"/>
  <c r="R22" i="16"/>
  <c r="D22" i="16" s="1"/>
  <c r="S23" i="16"/>
  <c r="E23" i="16" s="1"/>
  <c r="Q20" i="16"/>
  <c r="C20" i="16" s="1"/>
  <c r="R20" i="16"/>
  <c r="D20" i="16" s="1"/>
  <c r="Q21" i="16"/>
  <c r="C21" i="16" s="1"/>
  <c r="S20" i="16"/>
  <c r="E20" i="16" s="1"/>
  <c r="R21" i="16"/>
  <c r="D21" i="16" s="1"/>
  <c r="K28" i="8"/>
  <c r="I26" i="8"/>
  <c r="G27" i="8"/>
  <c r="C26" i="8"/>
  <c r="E28" i="8"/>
  <c r="J28" i="8"/>
  <c r="K25" i="8"/>
  <c r="F27" i="8"/>
  <c r="D26" i="8"/>
  <c r="D25" i="8"/>
  <c r="H27" i="8"/>
  <c r="F25" i="8"/>
  <c r="I28" i="8"/>
  <c r="J25" i="8"/>
  <c r="H26" i="8"/>
  <c r="E26" i="8"/>
  <c r="E25" i="8"/>
  <c r="J26" i="8"/>
  <c r="D28" i="8"/>
  <c r="K27" i="8"/>
  <c r="I25" i="8"/>
  <c r="G26" i="8"/>
  <c r="C27" i="8"/>
  <c r="C25" i="8"/>
  <c r="J27" i="8"/>
  <c r="H28" i="8"/>
  <c r="F26" i="8"/>
  <c r="D27" i="8"/>
  <c r="I27" i="8"/>
  <c r="G28" i="8"/>
  <c r="H25" i="8"/>
  <c r="E27" i="8"/>
  <c r="K26" i="8"/>
  <c r="F28" i="8"/>
  <c r="G25" i="8"/>
  <c r="C28" i="8"/>
  <c r="F17" i="14"/>
  <c r="H10" i="3"/>
  <c r="H11" i="3" s="1"/>
  <c r="N6" i="3"/>
  <c r="K11" i="3" l="1"/>
  <c r="I29" i="16"/>
  <c r="E24" i="16"/>
  <c r="D24" i="16"/>
  <c r="C24" i="16"/>
  <c r="C16" i="14"/>
  <c r="C16" i="16"/>
  <c r="P23" i="16"/>
  <c r="E35" i="16" s="1"/>
  <c r="V23" i="16"/>
  <c r="T22" i="16"/>
  <c r="N22" i="16"/>
  <c r="U21" i="16"/>
  <c r="O21" i="16"/>
  <c r="D33" i="16" s="1"/>
  <c r="V21" i="16"/>
  <c r="P21" i="16"/>
  <c r="E33" i="16" s="1"/>
  <c r="V20" i="16"/>
  <c r="P20" i="16"/>
  <c r="E32" i="16" s="1"/>
  <c r="S24" i="16"/>
  <c r="O23" i="16"/>
  <c r="D35" i="16" s="1"/>
  <c r="U23" i="16"/>
  <c r="U22" i="16"/>
  <c r="O22" i="16"/>
  <c r="D34" i="16" s="1"/>
  <c r="O20" i="16"/>
  <c r="D32" i="16" s="1"/>
  <c r="U20" i="16"/>
  <c r="R24" i="16"/>
  <c r="T23" i="16"/>
  <c r="N23" i="16"/>
  <c r="C35" i="16" s="1"/>
  <c r="N21" i="16"/>
  <c r="T21" i="16"/>
  <c r="N20" i="16"/>
  <c r="T20" i="16"/>
  <c r="Q24" i="16"/>
  <c r="V22" i="16"/>
  <c r="P22" i="16"/>
  <c r="E34" i="16" s="1"/>
  <c r="C22" i="14"/>
  <c r="E20" i="14"/>
  <c r="C23" i="14"/>
  <c r="I17" i="14"/>
  <c r="N9" i="3"/>
  <c r="N8" i="3"/>
  <c r="F28" i="3" s="1"/>
  <c r="R22" i="3"/>
  <c r="O22" i="3" s="1"/>
  <c r="R23" i="3"/>
  <c r="O23" i="3" s="1"/>
  <c r="S20" i="3"/>
  <c r="P20" i="3" s="1"/>
  <c r="Q21" i="3"/>
  <c r="N21" i="3" s="1"/>
  <c r="R21" i="3"/>
  <c r="O21" i="3" s="1"/>
  <c r="Q23" i="3"/>
  <c r="N23" i="3" s="1"/>
  <c r="S22" i="3"/>
  <c r="P22" i="3" s="1"/>
  <c r="Q20" i="3"/>
  <c r="N20" i="3" s="1"/>
  <c r="R20" i="3"/>
  <c r="O20" i="3" s="1"/>
  <c r="Q22" i="3"/>
  <c r="N22" i="3" s="1"/>
  <c r="S21" i="3"/>
  <c r="P21" i="3" s="1"/>
  <c r="S23" i="3"/>
  <c r="P23" i="3" s="1"/>
  <c r="N7" i="3"/>
  <c r="C16" i="3" s="1"/>
  <c r="C33" i="16" l="1"/>
  <c r="C32" i="16"/>
  <c r="C34" i="16"/>
  <c r="T24" i="16"/>
  <c r="I40" i="16" s="1"/>
  <c r="O24" i="16"/>
  <c r="D19" i="16" s="1"/>
  <c r="N24" i="16"/>
  <c r="C19" i="16" s="1"/>
  <c r="P24" i="16"/>
  <c r="E19" i="16" s="1"/>
  <c r="U24" i="16"/>
  <c r="J40" i="16" s="1"/>
  <c r="X24" i="16"/>
  <c r="X23" i="16"/>
  <c r="X21" i="16"/>
  <c r="X22" i="16"/>
  <c r="V24" i="16"/>
  <c r="K40" i="16" s="1"/>
  <c r="E36" i="16"/>
  <c r="F30" i="3"/>
  <c r="E35" i="3"/>
  <c r="E23" i="14"/>
  <c r="J20" i="14"/>
  <c r="C20" i="14"/>
  <c r="D20" i="14"/>
  <c r="K20" i="14"/>
  <c r="D23" i="14"/>
  <c r="D21" i="14"/>
  <c r="E22" i="14"/>
  <c r="D22" i="14"/>
  <c r="J22" i="14"/>
  <c r="C21" i="14"/>
  <c r="E21" i="14"/>
  <c r="K23" i="14"/>
  <c r="H23" i="14"/>
  <c r="J23" i="14"/>
  <c r="K22" i="14"/>
  <c r="N12" i="3"/>
  <c r="N10" i="3"/>
  <c r="M30" i="3" s="1"/>
  <c r="O24" i="3"/>
  <c r="D19" i="3" s="1"/>
  <c r="N24" i="3"/>
  <c r="P24" i="3"/>
  <c r="E19" i="3" s="1"/>
  <c r="D21" i="3"/>
  <c r="E23" i="3"/>
  <c r="E21" i="3"/>
  <c r="D23" i="3"/>
  <c r="C23" i="3"/>
  <c r="C21" i="3"/>
  <c r="D20" i="3"/>
  <c r="R24" i="3"/>
  <c r="E20" i="3"/>
  <c r="S24" i="3"/>
  <c r="Q24" i="3"/>
  <c r="C20" i="3"/>
  <c r="E22" i="3"/>
  <c r="D22" i="3"/>
  <c r="C22" i="3"/>
  <c r="V23" i="3"/>
  <c r="T23" i="3"/>
  <c r="C35" i="3" s="1"/>
  <c r="U23" i="3"/>
  <c r="D35" i="3" s="1"/>
  <c r="V22" i="3"/>
  <c r="E34" i="3" s="1"/>
  <c r="U21" i="3"/>
  <c r="D33" i="3" s="1"/>
  <c r="T21" i="3"/>
  <c r="C33" i="3" s="1"/>
  <c r="V21" i="3"/>
  <c r="E33" i="3" s="1"/>
  <c r="T22" i="3"/>
  <c r="C34" i="3" s="1"/>
  <c r="U22" i="3"/>
  <c r="D34" i="3" s="1"/>
  <c r="V20" i="3"/>
  <c r="E32" i="3" s="1"/>
  <c r="U20" i="3"/>
  <c r="D32" i="3" s="1"/>
  <c r="T20" i="3"/>
  <c r="C32" i="3" s="1"/>
  <c r="E31" i="16" l="1"/>
  <c r="K31" i="16"/>
  <c r="C31" i="16"/>
  <c r="I31" i="16"/>
  <c r="D31" i="16"/>
  <c r="J31" i="16"/>
  <c r="C36" i="16"/>
  <c r="D36" i="16"/>
  <c r="I28" i="3"/>
  <c r="C24" i="14"/>
  <c r="E24" i="14"/>
  <c r="J36" i="14"/>
  <c r="D24" i="14"/>
  <c r="E19" i="14"/>
  <c r="I36" i="14"/>
  <c r="K36" i="14"/>
  <c r="I20" i="14"/>
  <c r="G22" i="14"/>
  <c r="H21" i="14"/>
  <c r="G20" i="14"/>
  <c r="H22" i="14"/>
  <c r="H20" i="14"/>
  <c r="G21" i="14"/>
  <c r="F23" i="14"/>
  <c r="G23" i="14"/>
  <c r="V24" i="3"/>
  <c r="K40" i="3" s="1"/>
  <c r="U24" i="3"/>
  <c r="J40" i="3" s="1"/>
  <c r="T24" i="3"/>
  <c r="I40" i="3" s="1"/>
  <c r="N13" i="3"/>
  <c r="I29" i="3" s="1"/>
  <c r="X23" i="3"/>
  <c r="X24" i="3"/>
  <c r="X22" i="3"/>
  <c r="X21" i="3"/>
  <c r="C19" i="3"/>
  <c r="D24" i="3"/>
  <c r="E24" i="3"/>
  <c r="C24" i="3"/>
  <c r="J39" i="16" l="1"/>
  <c r="J41" i="16" s="1"/>
  <c r="J37" i="16"/>
  <c r="J36" i="16"/>
  <c r="I39" i="16"/>
  <c r="I41" i="16" s="1"/>
  <c r="I36" i="16"/>
  <c r="I37" i="16" s="1"/>
  <c r="G36" i="16"/>
  <c r="G37" i="16"/>
  <c r="G31" i="16"/>
  <c r="G39" i="16" s="1"/>
  <c r="G41" i="16" s="1"/>
  <c r="F36" i="16"/>
  <c r="F37" i="16" s="1"/>
  <c r="F31" i="16"/>
  <c r="F39" i="16" s="1"/>
  <c r="F41" i="16" s="1"/>
  <c r="K39" i="16"/>
  <c r="K41" i="16" s="1"/>
  <c r="K36" i="16"/>
  <c r="K37" i="16"/>
  <c r="H37" i="16"/>
  <c r="H31" i="16"/>
  <c r="H39" i="16" s="1"/>
  <c r="H41" i="16" s="1"/>
  <c r="H36" i="16"/>
  <c r="J31" i="3"/>
  <c r="J39" i="3" s="1"/>
  <c r="K31" i="3"/>
  <c r="K39" i="3" s="1"/>
  <c r="I31" i="3"/>
  <c r="I30" i="3"/>
  <c r="D19" i="14"/>
  <c r="G19" i="14" s="1"/>
  <c r="G32" i="14" s="1"/>
  <c r="J21" i="14"/>
  <c r="J24" i="14" s="1"/>
  <c r="I23" i="14"/>
  <c r="K21" i="14"/>
  <c r="K24" i="14" s="1"/>
  <c r="I21" i="14"/>
  <c r="C19" i="14"/>
  <c r="F19" i="14" s="1"/>
  <c r="F27" i="14" s="1"/>
  <c r="I22" i="14"/>
  <c r="H19" i="14"/>
  <c r="H32" i="14" s="1"/>
  <c r="K19" i="14"/>
  <c r="F22" i="14"/>
  <c r="F20" i="14"/>
  <c r="F21" i="14"/>
  <c r="H24" i="14"/>
  <c r="G24" i="14"/>
  <c r="E36" i="3"/>
  <c r="D36" i="3"/>
  <c r="E31" i="3"/>
  <c r="C36" i="3"/>
  <c r="C31" i="3"/>
  <c r="I36" i="3" l="1"/>
  <c r="I37" i="3" s="1"/>
  <c r="I39" i="3"/>
  <c r="K36" i="3"/>
  <c r="K41" i="3" s="1"/>
  <c r="J36" i="3"/>
  <c r="J37" i="3" s="1"/>
  <c r="H36" i="3"/>
  <c r="F36" i="3"/>
  <c r="F37" i="3" s="1"/>
  <c r="H35" i="14"/>
  <c r="H37" i="14" s="1"/>
  <c r="G35" i="14"/>
  <c r="G37" i="14" s="1"/>
  <c r="J19" i="14"/>
  <c r="J27" i="14" s="1"/>
  <c r="I24" i="14"/>
  <c r="I19" i="14"/>
  <c r="I27" i="14" s="1"/>
  <c r="G33" i="14"/>
  <c r="H33" i="14"/>
  <c r="G27" i="14"/>
  <c r="H27" i="14"/>
  <c r="K33" i="14"/>
  <c r="K32" i="14"/>
  <c r="K27" i="14"/>
  <c r="F32" i="14"/>
  <c r="F24" i="14"/>
  <c r="H31" i="3"/>
  <c r="H39" i="3" s="1"/>
  <c r="F31" i="3"/>
  <c r="F39" i="3" s="1"/>
  <c r="D31" i="3"/>
  <c r="H41" i="3" l="1"/>
  <c r="H37" i="3"/>
  <c r="K37" i="3"/>
  <c r="K35" i="14"/>
  <c r="K37" i="14" s="1"/>
  <c r="F35" i="14"/>
  <c r="F37" i="14" s="1"/>
  <c r="J33" i="14"/>
  <c r="J32" i="14"/>
  <c r="I32" i="14"/>
  <c r="F33" i="14"/>
  <c r="G36" i="3"/>
  <c r="G31" i="3"/>
  <c r="G39" i="3" s="1"/>
  <c r="F41" i="3"/>
  <c r="J41" i="3"/>
  <c r="I41" i="3"/>
  <c r="G41" i="3" l="1"/>
  <c r="G37" i="3"/>
  <c r="J35" i="14"/>
  <c r="J37" i="14" s="1"/>
  <c r="I35" i="14"/>
  <c r="I37" i="14" s="1"/>
  <c r="I33" i="14"/>
</calcChain>
</file>

<file path=xl/sharedStrings.xml><?xml version="1.0" encoding="utf-8"?>
<sst xmlns="http://schemas.openxmlformats.org/spreadsheetml/2006/main" count="699" uniqueCount="165">
  <si>
    <t>Useful Formats</t>
  </si>
  <si>
    <t>MARIN COUNTY INCLUSIONARY AFFORDABLE HOUSING AND IN-LIEU FEE CALCULATOR</t>
  </si>
  <si>
    <t>This is a tool for calculating the maximum justified commercial linkage fee for any type of commercial development in Marin County. It is designed to be an alternative method of assessing the fee for proposed development in cases when that development's land use falls outside the land use categories specified in City- or County- adopted linkage fees.</t>
  </si>
  <si>
    <t xml:space="preserve">This commercial linkage fee calculator can be used in cases that include either a new development or an expansion of an existing development. However, the calculations are not necessarily valid in cases that involve any kind of change in land use. You may need to refer to your local ordinance before using the calculator to approach these cases. </t>
  </si>
  <si>
    <t>WORKBOOK CONTENTS:</t>
  </si>
  <si>
    <t>FEE WORKSHEET</t>
  </si>
  <si>
    <t>This worksheet calculates the maximum justified commercial linkage fee. Enter the following information: 
-- Square feet of existing gross building area (GBA)
-- Square feet of net new gross building area for the new development; and
-- Information on jobs and wages for the new development.</t>
  </si>
  <si>
    <t>INCOME LIMITS</t>
  </si>
  <si>
    <t>This worksheet contains the Area Median Income limits used to categorize worker households into income groups. These assumptions should be updated annually.</t>
  </si>
  <si>
    <t>AFFORDABILITY GAP</t>
  </si>
  <si>
    <t>This worksheet contains a table of the affordability gap by income group calculated by the model. It tallies the number of employees by income group and converts that number into households. Then it applies the affordability gap to the number of households to get the total affordability gap. Finally, the model prorates the total affordability gap to the net new area of the completed building. These are intermediate calculations of the model and are for informational purposes.</t>
  </si>
  <si>
    <t>ASSUMPTIONS</t>
  </si>
  <si>
    <t>This worksheet contains the assumptions for the affordability gap by income group and the average workers per household. The assumptions in this sheet should be updated when a new nexus or affordability gap study is performed.</t>
  </si>
  <si>
    <t>EXAMPLE A</t>
  </si>
  <si>
    <t>An example linkage fee calculation for a case with new development on vacant land.</t>
  </si>
  <si>
    <t>EXAMPLE B</t>
  </si>
  <si>
    <t>An example linkage fee calculation for a building expansion without expanded employment.</t>
  </si>
  <si>
    <t>EXAMPLE C</t>
  </si>
  <si>
    <t>An example linkage fee calculation for a building demolition and expansion with new employment.</t>
  </si>
  <si>
    <t>EXAMPLE D</t>
  </si>
  <si>
    <t>An example linkage fee calculation for a building in which the total employment is unknown.</t>
  </si>
  <si>
    <t>COLOR CODING GUIDE</t>
  </si>
  <si>
    <t>Green cells are updated by the user. They represent the inputs to the fee calculator or the income assumptions. The income assumptions need to be updated yearly.</t>
  </si>
  <si>
    <t>Blue cells represent static assumptions and intermediate calculations performed by the model. They are provided for informational purposes and are not editable by the user.</t>
  </si>
  <si>
    <t>Orange cells highlight the maximum commercial linkage fee calculation.</t>
  </si>
  <si>
    <t>INCLUSIONARY AFFORDABLE HOUSING REQUIREMENT CALCULATOR</t>
  </si>
  <si>
    <t>For Rental Projects</t>
  </si>
  <si>
    <t>Jurisdiction</t>
  </si>
  <si>
    <t>Jurisdiction Index</t>
  </si>
  <si>
    <t>Fairfax</t>
  </si>
  <si>
    <t>Range</t>
  </si>
  <si>
    <t>Range Name</t>
  </si>
  <si>
    <t>Whole units (rounded up)</t>
  </si>
  <si>
    <t>Percentage Onsite</t>
  </si>
  <si>
    <t>Enter Net New Units</t>
  </si>
  <si>
    <t>Whole units (rounded down)</t>
  </si>
  <si>
    <t>In-lieu Fee</t>
  </si>
  <si>
    <t>Inclusionary Percent</t>
  </si>
  <si>
    <t>In-lieu Fee per Unit</t>
  </si>
  <si>
    <t>Fractional units</t>
  </si>
  <si>
    <t>Minimum Units to Apply Policy</t>
  </si>
  <si>
    <t>Equivalent In-lieu Fee on Incl. Units*</t>
  </si>
  <si>
    <t>Marin County Flag</t>
  </si>
  <si>
    <t>* This is the in-lieu fee amount, shown for informational purposes only, that would be equivalent to the entire onsite inclusionary unit requirement. Payment of fees in lieu of 100 percent of the unit requirement generally is not an option for compliance.</t>
  </si>
  <si>
    <t>Whole Units Flag</t>
  </si>
  <si>
    <t>Grey Out Option 2</t>
  </si>
  <si>
    <t>Options for Compliance</t>
  </si>
  <si>
    <t>Income Group</t>
  </si>
  <si>
    <t>A</t>
  </si>
  <si>
    <t>B</t>
  </si>
  <si>
    <t>C</t>
  </si>
  <si>
    <t>Very Low Income</t>
  </si>
  <si>
    <t>Low Income</t>
  </si>
  <si>
    <t>Moderate Income</t>
  </si>
  <si>
    <t>In-lieu Fee Equivalent Units</t>
  </si>
  <si>
    <t>Total</t>
  </si>
  <si>
    <t>Onsite Units and In-lieu Fee Worksheet</t>
  </si>
  <si>
    <t>OPTION 1: Round up to whole units</t>
  </si>
  <si>
    <t>OPTION 2: Pay in-lieu fee on fractional units</t>
  </si>
  <si>
    <t>Calculated Units</t>
  </si>
  <si>
    <t>Enter whole numbers in the table below for a total of:</t>
  </si>
  <si>
    <t>&amp;$N$9&amp; unit(s)"</t>
  </si>
  <si>
    <t>Total Units/Lots</t>
  </si>
  <si>
    <t>Status Message</t>
  </si>
  <si>
    <t>In-lieu Fee on Whole Units</t>
  </si>
  <si>
    <t>In-lieu Fee on Fractional Units</t>
  </si>
  <si>
    <t>Total In-lieu Fees</t>
  </si>
  <si>
    <t>For Ownership Projects</t>
  </si>
  <si>
    <t>Larkspur</t>
  </si>
  <si>
    <t>Enter Development Type</t>
  </si>
  <si>
    <t>Single Unit Detached</t>
  </si>
  <si>
    <t>SUD</t>
  </si>
  <si>
    <t>Condo</t>
  </si>
  <si>
    <t>Total Units</t>
  </si>
  <si>
    <t>OPTION 2: Pay the in-lieu fee on fractional units</t>
  </si>
  <si>
    <t>Units Calculation by Income Group</t>
  </si>
  <si>
    <t>Middle Income</t>
  </si>
  <si>
    <t>Affordable Units Worksheet</t>
  </si>
  <si>
    <t>In-lieu Fee Calculation</t>
  </si>
  <si>
    <t>Inclusionary Policy Parameters</t>
  </si>
  <si>
    <t>Minimum Units</t>
  </si>
  <si>
    <t>Rental Requirement</t>
  </si>
  <si>
    <t>Ownership Requirement</t>
  </si>
  <si>
    <t>Percentage</t>
  </si>
  <si>
    <t>In-lieu Fee - SUD</t>
  </si>
  <si>
    <t>In-lieu Fee - Condo</t>
  </si>
  <si>
    <t>Marin County</t>
  </si>
  <si>
    <t>Corte Madera</t>
  </si>
  <si>
    <t>San Anselmo</t>
  </si>
  <si>
    <t>Data Tables</t>
  </si>
  <si>
    <t>Development Types</t>
  </si>
  <si>
    <t>Rental</t>
  </si>
  <si>
    <t>Jurisdictions</t>
  </si>
  <si>
    <t>Index</t>
  </si>
  <si>
    <t>To Use the Worksheet for Rental</t>
  </si>
  <si>
    <t>To Use in the Worksheet for Ownership</t>
  </si>
  <si>
    <t>Ownership</t>
  </si>
  <si>
    <t>10 units or fewer</t>
  </si>
  <si>
    <t>11 to 29 units</t>
  </si>
  <si>
    <t>30 or more units</t>
  </si>
  <si>
    <t>4 units/lots or fewer</t>
  </si>
  <si>
    <t>5 to 29 units/lots</t>
  </si>
  <si>
    <t>30 or more units/lots</t>
  </si>
  <si>
    <t>Option A</t>
  </si>
  <si>
    <t>Option B</t>
  </si>
  <si>
    <t>Option C</t>
  </si>
  <si>
    <t>Onsite Percentage</t>
  </si>
  <si>
    <t>In-lieu Fee Percentage</t>
  </si>
  <si>
    <t>Options for Compliance by Jurisdiction</t>
  </si>
  <si>
    <t>More than 30 units</t>
  </si>
  <si>
    <t>5 to 29 units or lots</t>
  </si>
  <si>
    <t>More than 30 units or lots</t>
  </si>
  <si>
    <t>n/a</t>
  </si>
  <si>
    <t xml:space="preserve">Marin Jurisdictions Inclusionary Affordable Housing Requirements </t>
  </si>
  <si>
    <t>As of 2/12/2024</t>
  </si>
  <si>
    <t>Inclusionary Requiremnt</t>
  </si>
  <si>
    <t>Current Fee</t>
  </si>
  <si>
    <t xml:space="preserve">Annual Adjustment Factor </t>
  </si>
  <si>
    <t>Inclusionary Applicability</t>
  </si>
  <si>
    <t xml:space="preserve">Rental Housing </t>
  </si>
  <si>
    <t>Homeowner Housing</t>
  </si>
  <si>
    <t>Required round-up provisions</t>
  </si>
  <si>
    <r>
      <t>&lt;</t>
    </r>
    <r>
      <rPr>
        <b/>
        <sz val="11"/>
        <color theme="1"/>
        <rFont val="Calibri"/>
        <family val="2"/>
        <scheme val="minor"/>
      </rPr>
      <t xml:space="preserve"> 10 units/lots</t>
    </r>
  </si>
  <si>
    <t>11-29 units/lots</t>
  </si>
  <si>
    <r>
      <t>&gt;</t>
    </r>
    <r>
      <rPr>
        <b/>
        <sz val="11"/>
        <color theme="1"/>
        <rFont val="Calibri"/>
        <family val="2"/>
        <scheme val="minor"/>
      </rPr>
      <t xml:space="preserve"> 30 units/lots</t>
    </r>
  </si>
  <si>
    <r>
      <t>&lt;</t>
    </r>
    <r>
      <rPr>
        <b/>
        <sz val="11"/>
        <color theme="1"/>
        <rFont val="Calibri"/>
        <family val="2"/>
        <scheme val="minor"/>
      </rPr>
      <t xml:space="preserve"> 4 units/lots</t>
    </r>
  </si>
  <si>
    <t>5-29 units/lots</t>
  </si>
  <si>
    <t xml:space="preserve">Marin County </t>
  </si>
  <si>
    <t>All - 20%</t>
  </si>
  <si>
    <t>Construction Cost Index
(CCI) or the Consumer Price Index for Shelter (CPI Shelter)</t>
  </si>
  <si>
    <r>
      <t>&gt;</t>
    </r>
    <r>
      <rPr>
        <sz val="11"/>
        <color theme="1"/>
        <rFont val="Calibri"/>
        <family val="2"/>
        <scheme val="minor"/>
      </rPr>
      <t xml:space="preserve"> 2</t>
    </r>
  </si>
  <si>
    <t>10% Very Low-Income Units and 10% In Lieu Fee
OR	
15% Low-Income Units and 5% In Lieu Fee</t>
  </si>
  <si>
    <t>10% Very Low-Income Units and 10% Moderate Income Units
OR
15% Low-Income Units and 5% Moderate Income Units</t>
  </si>
  <si>
    <t>15% Very Low-Income Units; and 5% Moderate Income Units or 5% In Lieu fee 
OR
10% Very Low-Income Units, 5% Low Income Units, and 5% Moderate-Income Units</t>
  </si>
  <si>
    <t>20% Middle Income Units</t>
  </si>
  <si>
    <t>5% Low-income Units, 
5% Moderate-Income Units, 
10% Middle Income Units</t>
  </si>
  <si>
    <t>5% Low-income Units, 
10% Moderate-Income Units, 
5% Middle Income Units</t>
  </si>
  <si>
    <r>
      <rPr>
        <u/>
        <sz val="11"/>
        <color theme="1"/>
        <rFont val="Calibri"/>
        <family val="2"/>
        <scheme val="minor"/>
      </rPr>
      <t>&lt;</t>
    </r>
    <r>
      <rPr>
        <sz val="11"/>
        <color theme="1"/>
        <rFont val="Calibri"/>
        <family val="2"/>
        <scheme val="minor"/>
      </rPr>
      <t xml:space="preserve"> 4 units/lots - fractional unit/lot  greater than 0.70 rounds up to 1
&gt; 5 units/lots - any fractional unit/lot rounds up to 1</t>
    </r>
  </si>
  <si>
    <t>Rental:
All - $433,835.52
Ownership: 
Single Unit Detached - $346,651.59
Condominium - $242,840.85</t>
  </si>
  <si>
    <t>California Construction Cost Index (CCCI)</t>
  </si>
  <si>
    <t>15% Very Low-Income Units; and 5% In Lieu fee 
OR
10% Very Low-Income Units, 5% Low Income Units, and 5% Moderate-Income Units</t>
  </si>
  <si>
    <t xml:space="preserve">Any fractional units resulting from calculating the required affordable unit set aside may either be: 1) rounded up to the next whole number, or 2) an in-lieu fee may be paid equal the calculated fractional unit. </t>
  </si>
  <si>
    <t>Rental - 15%
Ownership - 20%</t>
  </si>
  <si>
    <t>Rental:
All - $396,921.80
Ownership: 
Single Unit Detached - $396,921.80
Condominium - $315,783.10</t>
  </si>
  <si>
    <r>
      <rPr>
        <u/>
        <sz val="11"/>
        <color theme="1"/>
        <rFont val="Calibri"/>
        <family val="2"/>
        <scheme val="minor"/>
      </rPr>
      <t>&gt;</t>
    </r>
    <r>
      <rPr>
        <sz val="11"/>
        <color theme="1"/>
        <rFont val="Calibri"/>
        <family val="2"/>
        <scheme val="minor"/>
      </rPr>
      <t xml:space="preserve"> 3</t>
    </r>
  </si>
  <si>
    <t>15% Low-Income</t>
  </si>
  <si>
    <t>20% Low-Income</t>
  </si>
  <si>
    <t>Rental:
All - $462,499
Ownership: 
Single Unit Detached - $412,484
Condominium - $315,783</t>
  </si>
  <si>
    <t xml:space="preserve">All - $396,921.80 </t>
  </si>
  <si>
    <t>Option A: 10% VLI + 10% Fee</t>
  </si>
  <si>
    <t>Option B: 15% LI + 5% Fee</t>
  </si>
  <si>
    <t>Units In Project</t>
  </si>
  <si>
    <t>Units Required (Round Up)</t>
  </si>
  <si>
    <t>Fractional Fee</t>
  </si>
  <si>
    <t>Very Low</t>
  </si>
  <si>
    <t>Low</t>
  </si>
  <si>
    <t>Moderate</t>
  </si>
  <si>
    <t>In-Lieu Fee (Whole Units)</t>
  </si>
  <si>
    <t>None</t>
  </si>
  <si>
    <t>Option A: 10% VLI + 10% Mod</t>
  </si>
  <si>
    <t>Option B: 15% LI + 5% Mod</t>
  </si>
  <si>
    <t>Notes</t>
  </si>
  <si>
    <t>Marin County information updated 6/20/2025</t>
  </si>
  <si>
    <t>All - $406,051</t>
  </si>
  <si>
    <t>Marin County information updated 6/20/2025. Please refer to each jurisdiction's website for the latest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</si>
</sst>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quot;$&quot;0,,&quot;M&quot;"/>
    <numFmt numFmtId="165" formatCode="&quot;$&quot;0.0,,"/>
    <numFmt numFmtId="166" formatCode="&quot;$&quot;#,#00,&quot;K&quot;"/>
    <numFmt numFmtId="167" formatCode="&quot;$&quot;#,##0"/>
    <numFmt numFmtId="168" formatCode="0.0000"/>
    <numFmt numFmtId="169" formatCode="_(* #,##0.00_);_(* \(#,##0.00\);_(* &quot;-&quot;_);_(@_)"/>
    <numFmt numFmtId="170" formatCode="&quot;$&quot;#,##0.00"/>
  </numFmts>
  <fonts count="33" x14ac:knownFonts="1">
    <font>
      <sz val="11"/>
      <color theme="1"/>
      <name val="Calibri"/>
      <family val="2"/>
      <scheme val="minor"/>
    </font>
    <font>
      <sz val="10"/>
      <color theme="1"/>
      <name val="Franklin Gothic Book"/>
      <family val="2"/>
    </font>
    <font>
      <sz val="10"/>
      <color theme="1"/>
      <name val="Franklin Gothic Book"/>
      <family val="2"/>
    </font>
    <font>
      <b/>
      <sz val="10"/>
      <color theme="1"/>
      <name val="Franklin Gothic Book"/>
      <family val="2"/>
    </font>
    <font>
      <b/>
      <sz val="11"/>
      <color theme="1"/>
      <name val="Franklin Gothic Book"/>
      <family val="2"/>
    </font>
    <font>
      <i/>
      <sz val="10"/>
      <color theme="1"/>
      <name val="Franklin Gothic Book"/>
      <family val="2"/>
    </font>
    <font>
      <sz val="11"/>
      <color theme="1"/>
      <name val="Calibri"/>
      <family val="2"/>
      <scheme val="minor"/>
    </font>
    <font>
      <sz val="11"/>
      <color theme="1"/>
      <name val="Franklin Gothic Book"/>
      <family val="2"/>
    </font>
    <font>
      <sz val="9"/>
      <color theme="1"/>
      <name val="Franklin Gothic Book"/>
      <family val="2"/>
    </font>
    <font>
      <sz val="9"/>
      <color theme="1"/>
      <name val="Arial"/>
      <family val="2"/>
    </font>
    <font>
      <sz val="10"/>
      <name val="Arial"/>
      <family val="2"/>
    </font>
    <font>
      <i/>
      <sz val="9"/>
      <color theme="1"/>
      <name val="Franklin Gothic Book"/>
      <family val="2"/>
    </font>
    <font>
      <b/>
      <sz val="10"/>
      <color theme="0"/>
      <name val="Franklin Gothic Book"/>
      <family val="2"/>
    </font>
    <font>
      <i/>
      <sz val="10"/>
      <color rgb="FF000000"/>
      <name val="Franklin Gothic Book"/>
      <family val="2"/>
    </font>
    <font>
      <b/>
      <sz val="11"/>
      <color theme="0"/>
      <name val="Franklin Gothic Book"/>
      <family val="2"/>
    </font>
    <font>
      <i/>
      <sz val="10"/>
      <name val="Franklin Gothic Book"/>
      <family val="2"/>
    </font>
    <font>
      <b/>
      <sz val="10"/>
      <name val="Franklin Gothic Book"/>
      <family val="2"/>
    </font>
    <font>
      <b/>
      <sz val="11"/>
      <name val="Franklin Gothic Book"/>
      <family val="2"/>
    </font>
    <font>
      <b/>
      <sz val="11"/>
      <color theme="1"/>
      <name val="Calibri"/>
      <family val="2"/>
      <scheme val="minor"/>
    </font>
    <font>
      <b/>
      <u/>
      <sz val="11"/>
      <color theme="1"/>
      <name val="Calibri"/>
      <family val="2"/>
      <scheme val="minor"/>
    </font>
    <font>
      <u/>
      <sz val="11"/>
      <color theme="1"/>
      <name val="Calibri"/>
      <family val="2"/>
      <scheme val="minor"/>
    </font>
    <font>
      <b/>
      <sz val="14"/>
      <color theme="1"/>
      <name val="Calibri"/>
      <family val="2"/>
      <scheme val="minor"/>
    </font>
    <font>
      <i/>
      <sz val="11"/>
      <color theme="1"/>
      <name val="Calibri"/>
      <family val="2"/>
      <scheme val="minor"/>
    </font>
    <font>
      <sz val="10"/>
      <color theme="0"/>
      <name val="Franklin Gothic Book"/>
      <family val="2"/>
    </font>
    <font>
      <sz val="10"/>
      <name val="Franklin Gothic Book"/>
      <family val="2"/>
    </font>
    <font>
      <i/>
      <sz val="10"/>
      <color rgb="FFFF0000"/>
      <name val="Franklin Gothic Book"/>
      <family val="2"/>
    </font>
    <font>
      <i/>
      <sz val="10"/>
      <color theme="1" tint="0.34998626667073579"/>
      <name val="Franklin Gothic Book"/>
      <family val="2"/>
    </font>
    <font>
      <i/>
      <sz val="11"/>
      <color theme="1"/>
      <name val="Franklin Gothic Book"/>
      <family val="2"/>
    </font>
    <font>
      <b/>
      <sz val="12"/>
      <color theme="1"/>
      <name val="Franklin Gothic Book"/>
      <family val="2"/>
    </font>
    <font>
      <b/>
      <u/>
      <sz val="10"/>
      <color theme="0"/>
      <name val="Franklin Gothic Book"/>
      <family val="2"/>
    </font>
    <font>
      <b/>
      <i/>
      <sz val="11"/>
      <color theme="1"/>
      <name val="Franklin Gothic Book"/>
      <family val="2"/>
    </font>
    <font>
      <i/>
      <sz val="11"/>
      <color rgb="FFFF0000"/>
      <name val="Calibri"/>
      <family val="2"/>
      <scheme val="minor"/>
    </font>
    <font>
      <sz val="11"/>
      <color rgb="FFFF0000"/>
      <name val="Franklin Gothic Book"/>
      <family val="2"/>
    </font>
  </fonts>
  <fills count="25">
    <fill>
      <patternFill patternType="none"/>
    </fill>
    <fill>
      <patternFill patternType="gray125"/>
    </fill>
    <fill>
      <patternFill patternType="solid">
        <fgColor theme="4"/>
        <bgColor theme="4"/>
      </patternFill>
    </fill>
    <fill>
      <patternFill patternType="solid">
        <fgColor theme="9" tint="-0.249977111117893"/>
        <bgColor indexed="64"/>
      </patternFill>
    </fill>
    <fill>
      <patternFill patternType="solid">
        <fgColor theme="9" tint="0.79998168889431442"/>
        <bgColor indexed="64"/>
      </patternFill>
    </fill>
    <fill>
      <patternFill patternType="solid">
        <fgColor theme="4" tint="0.79998168889431442"/>
        <bgColor theme="4" tint="0.59999389629810485"/>
      </patternFill>
    </fill>
    <fill>
      <patternFill patternType="solid">
        <fgColor theme="1"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bgColor theme="4" tint="0.59999389629810485"/>
      </patternFill>
    </fill>
    <fill>
      <patternFill patternType="solid">
        <fgColor theme="4" tint="0.79998168889431442"/>
        <bgColor theme="4"/>
      </patternFill>
    </fill>
    <fill>
      <patternFill patternType="solid">
        <fgColor theme="4"/>
        <bgColor indexed="64"/>
      </patternFill>
    </fill>
    <fill>
      <patternFill patternType="solid">
        <fgColor theme="0" tint="-4.9989318521683403E-2"/>
        <bgColor indexed="64"/>
      </patternFill>
    </fill>
    <fill>
      <patternFill patternType="solid">
        <fgColor theme="0"/>
        <bgColor theme="4"/>
      </patternFill>
    </fill>
    <fill>
      <patternFill patternType="solid">
        <fgColor theme="0"/>
        <bgColor theme="4" tint="0.59999389629810485"/>
      </patternFill>
    </fill>
    <fill>
      <patternFill patternType="solid">
        <fgColor theme="0"/>
        <bgColor indexed="64"/>
      </patternFill>
    </fill>
    <fill>
      <patternFill patternType="solid">
        <fgColor theme="9" tint="0.79998168889431442"/>
        <bgColor theme="4" tint="0.59999389629810485"/>
      </patternFill>
    </fill>
    <fill>
      <patternFill patternType="solid">
        <fgColor theme="9" tint="-0.249977111117893"/>
        <bgColor theme="4"/>
      </patternFill>
    </fill>
    <fill>
      <patternFill patternType="solid">
        <fgColor theme="9" tint="-0.249977111117893"/>
        <bgColor theme="4" tint="0.59999389629810485"/>
      </patternFill>
    </fill>
    <fill>
      <patternFill patternType="solid">
        <fgColor theme="9" tint="0.39997558519241921"/>
        <bgColor theme="4"/>
      </patternFill>
    </fill>
  </fills>
  <borders count="96">
    <border>
      <left/>
      <right/>
      <top/>
      <bottom/>
      <diagonal/>
    </border>
    <border>
      <left/>
      <right/>
      <top/>
      <bottom style="medium">
        <color indexed="64"/>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style="thin">
        <color theme="0"/>
      </right>
      <top/>
      <bottom style="thin">
        <color theme="0"/>
      </bottom>
      <diagonal/>
    </border>
    <border>
      <left/>
      <right/>
      <top/>
      <bottom style="thick">
        <color theme="4" tint="-0.249977111117893"/>
      </bottom>
      <diagonal/>
    </border>
    <border>
      <left style="thin">
        <color theme="0"/>
      </left>
      <right/>
      <top style="thin">
        <color theme="0"/>
      </top>
      <bottom/>
      <diagonal/>
    </border>
    <border>
      <left style="mediumDashed">
        <color theme="0" tint="-0.499984740745262"/>
      </left>
      <right style="thin">
        <color theme="0"/>
      </right>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indexed="64"/>
      </right>
      <top/>
      <bottom/>
      <diagonal/>
    </border>
    <border>
      <left style="thin">
        <color theme="0"/>
      </left>
      <right style="thin">
        <color indexed="64"/>
      </right>
      <top/>
      <bottom style="thin">
        <color theme="0"/>
      </bottom>
      <diagonal/>
    </border>
    <border>
      <left/>
      <right style="thin">
        <color indexed="64"/>
      </right>
      <top/>
      <bottom style="thin">
        <color theme="0"/>
      </bottom>
      <diagonal/>
    </border>
    <border>
      <left style="thin">
        <color theme="0"/>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left>
      <right style="medium">
        <color indexed="64"/>
      </right>
      <top/>
      <bottom/>
      <diagonal/>
    </border>
    <border>
      <left style="medium">
        <color indexed="64"/>
      </left>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style="thin">
        <color theme="0"/>
      </left>
      <right/>
      <top/>
      <bottom style="medium">
        <color indexed="64"/>
      </bottom>
      <diagonal/>
    </border>
    <border>
      <left style="thin">
        <color theme="0"/>
      </left>
      <right style="thin">
        <color indexed="64"/>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diagonal/>
    </border>
    <border>
      <left style="thin">
        <color theme="0"/>
      </left>
      <right/>
      <top style="thin">
        <color theme="0"/>
      </top>
      <bottom style="thin">
        <color theme="0"/>
      </bottom>
      <diagonal/>
    </border>
    <border>
      <left/>
      <right style="medium">
        <color indexed="64"/>
      </right>
      <top/>
      <bottom style="thin">
        <color theme="0"/>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bottom/>
      <diagonal/>
    </border>
    <border>
      <left style="medium">
        <color indexed="64"/>
      </left>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ck">
        <color theme="4" tint="-0.249977111117893"/>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top/>
      <bottom/>
      <diagonal/>
    </border>
    <border>
      <left style="thin">
        <color theme="0"/>
      </left>
      <right/>
      <top style="medium">
        <color indexed="64"/>
      </top>
      <bottom/>
      <diagonal/>
    </border>
    <border>
      <left/>
      <right style="thin">
        <color theme="0"/>
      </right>
      <top style="thick">
        <color theme="4" tint="-0.249977111117893"/>
      </top>
      <bottom style="thin">
        <color theme="0"/>
      </bottom>
      <diagonal/>
    </border>
    <border>
      <left style="thin">
        <color indexed="64"/>
      </left>
      <right/>
      <top style="medium">
        <color indexed="64"/>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top/>
      <bottom style="thin">
        <color theme="0"/>
      </bottom>
      <diagonal/>
    </border>
    <border>
      <left/>
      <right style="thin">
        <color theme="0"/>
      </right>
      <top style="thin">
        <color indexed="64"/>
      </top>
      <bottom/>
      <diagonal/>
    </border>
    <border>
      <left/>
      <right style="medium">
        <color indexed="64"/>
      </right>
      <top style="thin">
        <color theme="0"/>
      </top>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style="thin">
        <color theme="0"/>
      </bottom>
      <diagonal/>
    </border>
    <border>
      <left style="thin">
        <color theme="9" tint="-0.249977111117893"/>
      </left>
      <right style="thin">
        <color theme="9" tint="-0.249977111117893"/>
      </right>
      <top/>
      <bottom style="thin">
        <color theme="9" tint="-0.249977111117893"/>
      </bottom>
      <diagonal/>
    </border>
    <border>
      <left/>
      <right/>
      <top/>
      <bottom style="medium">
        <color theme="4" tint="-0.249977111117893"/>
      </bottom>
      <diagonal/>
    </border>
  </borders>
  <cellStyleXfs count="6">
    <xf numFmtId="0" fontId="0" fillId="0" borderId="0"/>
    <xf numFmtId="0" fontId="9" fillId="0" borderId="0"/>
    <xf numFmtId="0" fontId="10" fillId="0" borderId="0">
      <alignment vertical="center"/>
    </xf>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378">
    <xf numFmtId="0" fontId="0" fillId="0" borderId="0" xfId="0"/>
    <xf numFmtId="0" fontId="2" fillId="0" borderId="0" xfId="0" applyFont="1"/>
    <xf numFmtId="0" fontId="4" fillId="0" borderId="0" xfId="0" applyFont="1"/>
    <xf numFmtId="0" fontId="2" fillId="0" borderId="0" xfId="0" applyFont="1" applyAlignment="1">
      <alignment horizontal="center"/>
    </xf>
    <xf numFmtId="0" fontId="7" fillId="0" borderId="0" xfId="0" applyFont="1"/>
    <xf numFmtId="0" fontId="8" fillId="0" borderId="0" xfId="0" applyFont="1"/>
    <xf numFmtId="167" fontId="2" fillId="0" borderId="0" xfId="0" applyNumberFormat="1" applyFont="1" applyAlignment="1">
      <alignment horizontal="right"/>
    </xf>
    <xf numFmtId="0" fontId="2" fillId="0" borderId="0" xfId="0" applyFont="1" applyAlignment="1">
      <alignment horizontal="left"/>
    </xf>
    <xf numFmtId="0" fontId="4" fillId="0" borderId="1" xfId="0" applyFont="1" applyBorder="1"/>
    <xf numFmtId="0" fontId="4" fillId="0" borderId="1" xfId="0" applyFont="1" applyBorder="1" applyAlignment="1">
      <alignment vertical="center"/>
    </xf>
    <xf numFmtId="0" fontId="8" fillId="0" borderId="1" xfId="0" applyFont="1" applyBorder="1"/>
    <xf numFmtId="0" fontId="7" fillId="6" borderId="0" xfId="0" applyFont="1" applyFill="1"/>
    <xf numFmtId="0" fontId="4" fillId="0" borderId="0" xfId="0" applyFont="1" applyAlignment="1">
      <alignment vertical="center"/>
    </xf>
    <xf numFmtId="0" fontId="7" fillId="0" borderId="0" xfId="0" applyFont="1" applyAlignment="1">
      <alignment horizontal="center"/>
    </xf>
    <xf numFmtId="0" fontId="14" fillId="0" borderId="0" xfId="0" applyFont="1" applyAlignment="1">
      <alignment horizontal="center"/>
    </xf>
    <xf numFmtId="0" fontId="7" fillId="0" borderId="0" xfId="0" applyFont="1" applyAlignment="1">
      <alignment vertical="top"/>
    </xf>
    <xf numFmtId="0" fontId="11" fillId="0" borderId="0" xfId="0" applyFont="1" applyAlignment="1">
      <alignment horizontal="left" vertical="center" wrapText="1"/>
    </xf>
    <xf numFmtId="0" fontId="1" fillId="0" borderId="0" xfId="0" applyFont="1"/>
    <xf numFmtId="0" fontId="5" fillId="0" borderId="0" xfId="0" applyFont="1" applyAlignment="1">
      <alignment horizontal="left" vertical="top" wrapText="1"/>
    </xf>
    <xf numFmtId="0" fontId="15" fillId="0" borderId="0" xfId="0" applyFont="1" applyAlignment="1">
      <alignment horizontal="left" vertical="top" wrapText="1"/>
    </xf>
    <xf numFmtId="0" fontId="12" fillId="3" borderId="11" xfId="0" applyFont="1" applyFill="1" applyBorder="1"/>
    <xf numFmtId="0" fontId="17" fillId="10" borderId="0" xfId="0" applyFont="1" applyFill="1" applyAlignment="1">
      <alignment horizontal="center"/>
    </xf>
    <xf numFmtId="0" fontId="7" fillId="4" borderId="0" xfId="0" applyFont="1" applyFill="1" applyAlignment="1">
      <alignment vertical="center"/>
    </xf>
    <xf numFmtId="0" fontId="7" fillId="4" borderId="0" xfId="0" applyFont="1" applyFill="1"/>
    <xf numFmtId="0" fontId="7" fillId="7" borderId="0" xfId="0" applyFont="1" applyFill="1"/>
    <xf numFmtId="0" fontId="7" fillId="11" borderId="0" xfId="0" applyFont="1" applyFill="1"/>
    <xf numFmtId="0" fontId="1" fillId="0" borderId="0" xfId="0" applyFont="1" applyAlignment="1">
      <alignment horizontal="left" indent="1"/>
    </xf>
    <xf numFmtId="0" fontId="18" fillId="0" borderId="0" xfId="0" applyFont="1" applyAlignment="1">
      <alignment wrapText="1"/>
    </xf>
    <xf numFmtId="0" fontId="19" fillId="0" borderId="13" xfId="0" applyFont="1" applyBorder="1" applyAlignment="1">
      <alignment wrapText="1"/>
    </xf>
    <xf numFmtId="0" fontId="18" fillId="0" borderId="13" xfId="0" applyFont="1" applyBorder="1" applyAlignment="1">
      <alignment wrapText="1"/>
    </xf>
    <xf numFmtId="9" fontId="0" fillId="0" borderId="13" xfId="0" applyNumberFormat="1" applyBorder="1" applyAlignment="1">
      <alignment wrapText="1"/>
    </xf>
    <xf numFmtId="44" fontId="0" fillId="0" borderId="13" xfId="5" applyFont="1" applyBorder="1" applyAlignment="1">
      <alignment wrapText="1"/>
    </xf>
    <xf numFmtId="0" fontId="0" fillId="0" borderId="13" xfId="0" applyBorder="1" applyAlignment="1">
      <alignment wrapText="1"/>
    </xf>
    <xf numFmtId="9" fontId="20" fillId="0" borderId="13" xfId="0" applyNumberFormat="1" applyFont="1" applyBorder="1" applyAlignment="1">
      <alignment wrapText="1"/>
    </xf>
    <xf numFmtId="0" fontId="0" fillId="0" borderId="0" xfId="0" applyAlignment="1">
      <alignment wrapText="1"/>
    </xf>
    <xf numFmtId="0" fontId="21" fillId="0" borderId="0" xfId="0" applyFont="1"/>
    <xf numFmtId="0" fontId="22" fillId="0" borderId="0" xfId="0" applyFont="1"/>
    <xf numFmtId="9" fontId="7" fillId="0" borderId="0" xfId="0" applyNumberFormat="1" applyFont="1"/>
    <xf numFmtId="0" fontId="7" fillId="8" borderId="0" xfId="0" applyFont="1" applyFill="1"/>
    <xf numFmtId="9" fontId="7" fillId="8" borderId="0" xfId="0" applyNumberFormat="1" applyFont="1" applyFill="1" applyAlignment="1">
      <alignment horizontal="center"/>
    </xf>
    <xf numFmtId="0" fontId="7" fillId="0" borderId="14" xfId="0" applyFont="1" applyBorder="1"/>
    <xf numFmtId="0" fontId="7" fillId="8" borderId="14" xfId="0" applyFont="1" applyFill="1" applyBorder="1"/>
    <xf numFmtId="9" fontId="7" fillId="8" borderId="14" xfId="0" applyNumberFormat="1" applyFont="1" applyFill="1" applyBorder="1" applyAlignment="1">
      <alignment horizontal="center"/>
    </xf>
    <xf numFmtId="9" fontId="7" fillId="0" borderId="14" xfId="0" applyNumberFormat="1" applyFont="1" applyBorder="1"/>
    <xf numFmtId="0" fontId="3" fillId="0" borderId="0" xfId="0" applyFont="1" applyAlignment="1">
      <alignment horizontal="left"/>
    </xf>
    <xf numFmtId="0" fontId="12" fillId="2" borderId="0" xfId="0" applyFont="1" applyFill="1" applyAlignment="1">
      <alignment horizontal="left" vertical="center" wrapText="1" indent="1"/>
    </xf>
    <xf numFmtId="0" fontId="3" fillId="0" borderId="0" xfId="0" applyFont="1"/>
    <xf numFmtId="0" fontId="1" fillId="0" borderId="0" xfId="0" applyFont="1" applyAlignment="1">
      <alignment horizontal="center" wrapText="1"/>
    </xf>
    <xf numFmtId="0" fontId="3" fillId="0" borderId="9" xfId="0" applyFont="1" applyBorder="1" applyAlignment="1">
      <alignment horizontal="left"/>
    </xf>
    <xf numFmtId="44" fontId="1" fillId="5" borderId="15" xfId="3" applyNumberFormat="1" applyFont="1" applyFill="1" applyBorder="1" applyAlignment="1">
      <alignment horizontal="center" vertical="center"/>
    </xf>
    <xf numFmtId="0" fontId="12" fillId="2" borderId="16" xfId="0" applyFont="1" applyFill="1" applyBorder="1" applyAlignment="1">
      <alignment vertical="center" wrapText="1"/>
    </xf>
    <xf numFmtId="0" fontId="24" fillId="15" borderId="17" xfId="0" applyFont="1" applyFill="1" applyBorder="1" applyAlignment="1">
      <alignment horizontal="left" vertical="center" wrapText="1" indent="1"/>
    </xf>
    <xf numFmtId="0" fontId="24" fillId="15" borderId="16" xfId="0" applyFont="1" applyFill="1" applyBorder="1" applyAlignment="1">
      <alignment horizontal="left" vertical="center" wrapText="1" indent="1"/>
    </xf>
    <xf numFmtId="44" fontId="1" fillId="5" borderId="16" xfId="3" applyNumberFormat="1" applyFont="1" applyFill="1" applyBorder="1" applyAlignment="1">
      <alignment horizontal="center" vertical="center"/>
    </xf>
    <xf numFmtId="44" fontId="1" fillId="5" borderId="19" xfId="3" applyNumberFormat="1" applyFont="1" applyFill="1" applyBorder="1" applyAlignment="1">
      <alignment horizontal="center" vertical="center"/>
    </xf>
    <xf numFmtId="44" fontId="1" fillId="5" borderId="30" xfId="3" applyNumberFormat="1" applyFont="1" applyFill="1" applyBorder="1" applyAlignment="1">
      <alignment horizontal="center" vertical="center"/>
    </xf>
    <xf numFmtId="44" fontId="12" fillId="14" borderId="32" xfId="3" applyNumberFormat="1" applyFont="1" applyFill="1" applyBorder="1" applyAlignment="1">
      <alignment horizontal="center" vertical="center"/>
    </xf>
    <xf numFmtId="44" fontId="12" fillId="14" borderId="33" xfId="3" applyNumberFormat="1" applyFont="1" applyFill="1" applyBorder="1" applyAlignment="1">
      <alignment horizontal="center" vertical="center"/>
    </xf>
    <xf numFmtId="44" fontId="12" fillId="14" borderId="1" xfId="3" applyNumberFormat="1" applyFont="1" applyFill="1" applyBorder="1" applyAlignment="1">
      <alignment horizontal="center" vertical="center"/>
    </xf>
    <xf numFmtId="44" fontId="12" fillId="14" borderId="34" xfId="3" applyNumberFormat="1" applyFont="1" applyFill="1" applyBorder="1" applyAlignment="1">
      <alignment horizontal="center" vertical="center"/>
    </xf>
    <xf numFmtId="9" fontId="1" fillId="5" borderId="35" xfId="4" applyFont="1" applyFill="1" applyBorder="1" applyAlignment="1">
      <alignment horizontal="center" vertical="center"/>
    </xf>
    <xf numFmtId="9" fontId="1" fillId="5" borderId="8" xfId="4" applyFont="1" applyFill="1" applyBorder="1" applyAlignment="1">
      <alignment horizontal="center" vertical="center"/>
    </xf>
    <xf numFmtId="9" fontId="1" fillId="5" borderId="39" xfId="4" applyFont="1" applyFill="1" applyBorder="1" applyAlignment="1">
      <alignment horizontal="center" vertical="center"/>
    </xf>
    <xf numFmtId="44" fontId="1" fillId="5" borderId="29" xfId="3" applyNumberFormat="1" applyFont="1" applyFill="1" applyBorder="1" applyAlignment="1">
      <alignment horizontal="center" vertical="center"/>
    </xf>
    <xf numFmtId="44" fontId="12" fillId="14" borderId="31" xfId="3" applyNumberFormat="1" applyFont="1" applyFill="1" applyBorder="1" applyAlignment="1">
      <alignment horizontal="center" vertical="center"/>
    </xf>
    <xf numFmtId="0" fontId="23" fillId="16" borderId="36" xfId="0" applyFont="1" applyFill="1" applyBorder="1" applyAlignment="1">
      <alignment horizontal="center"/>
    </xf>
    <xf numFmtId="0" fontId="4" fillId="0" borderId="0" xfId="0" applyFont="1" applyAlignment="1">
      <alignment horizontal="center"/>
    </xf>
    <xf numFmtId="168" fontId="7" fillId="8" borderId="10" xfId="0" applyNumberFormat="1" applyFont="1" applyFill="1" applyBorder="1" applyAlignment="1">
      <alignment horizontal="center"/>
    </xf>
    <xf numFmtId="0" fontId="12" fillId="16" borderId="28" xfId="0" applyFont="1" applyFill="1" applyBorder="1" applyAlignment="1">
      <alignment horizontal="center"/>
    </xf>
    <xf numFmtId="0" fontId="0" fillId="0" borderId="43" xfId="0" applyBorder="1"/>
    <xf numFmtId="0" fontId="0" fillId="0" borderId="43" xfId="0" applyBorder="1" applyAlignment="1">
      <alignment horizontal="center"/>
    </xf>
    <xf numFmtId="0" fontId="0" fillId="11" borderId="43" xfId="0" applyFill="1" applyBorder="1" applyAlignment="1">
      <alignment horizontal="center"/>
    </xf>
    <xf numFmtId="0" fontId="0" fillId="4" borderId="43" xfId="0" applyFill="1" applyBorder="1" applyAlignment="1">
      <alignment horizontal="center"/>
    </xf>
    <xf numFmtId="0" fontId="18" fillId="0" borderId="43" xfId="0" applyFont="1" applyBorder="1" applyAlignment="1">
      <alignment horizontal="center" wrapText="1"/>
    </xf>
    <xf numFmtId="0" fontId="0" fillId="11" borderId="43" xfId="0" applyFill="1" applyBorder="1" applyAlignment="1">
      <alignment horizontal="center" wrapText="1"/>
    </xf>
    <xf numFmtId="0" fontId="0" fillId="4" borderId="43" xfId="0" applyFill="1" applyBorder="1" applyAlignment="1">
      <alignment horizontal="center" wrapText="1"/>
    </xf>
    <xf numFmtId="169" fontId="1" fillId="5" borderId="29" xfId="3" applyNumberFormat="1" applyFont="1" applyFill="1" applyBorder="1" applyAlignment="1">
      <alignment horizontal="center" vertical="center"/>
    </xf>
    <xf numFmtId="169" fontId="12" fillId="14" borderId="19" xfId="3" applyNumberFormat="1" applyFont="1" applyFill="1" applyBorder="1" applyAlignment="1">
      <alignment horizontal="center" vertical="center"/>
    </xf>
    <xf numFmtId="169" fontId="1" fillId="5" borderId="16" xfId="3" applyNumberFormat="1" applyFont="1" applyFill="1" applyBorder="1" applyAlignment="1">
      <alignment horizontal="center" vertical="center"/>
    </xf>
    <xf numFmtId="9" fontId="3" fillId="0" borderId="0" xfId="0" applyNumberFormat="1" applyFont="1" applyAlignment="1">
      <alignment horizontal="center"/>
    </xf>
    <xf numFmtId="169" fontId="1" fillId="5" borderId="20" xfId="3" applyNumberFormat="1" applyFont="1" applyFill="1" applyBorder="1" applyAlignment="1">
      <alignment horizontal="center" vertical="center"/>
    </xf>
    <xf numFmtId="169" fontId="1" fillId="5" borderId="15" xfId="3" applyNumberFormat="1" applyFont="1" applyFill="1" applyBorder="1" applyAlignment="1">
      <alignment horizontal="center" vertical="center"/>
    </xf>
    <xf numFmtId="169" fontId="1" fillId="5" borderId="19" xfId="3" applyNumberFormat="1" applyFont="1" applyFill="1" applyBorder="1" applyAlignment="1">
      <alignment horizontal="center" vertical="center"/>
    </xf>
    <xf numFmtId="9" fontId="12" fillId="19" borderId="14" xfId="4" applyFont="1" applyFill="1" applyBorder="1" applyAlignment="1">
      <alignment horizontal="center" vertical="center"/>
    </xf>
    <xf numFmtId="9" fontId="3" fillId="20" borderId="0" xfId="0" applyNumberFormat="1" applyFont="1" applyFill="1" applyAlignment="1">
      <alignment horizontal="center"/>
    </xf>
    <xf numFmtId="0" fontId="2" fillId="20" borderId="0" xfId="0" applyFont="1" applyFill="1"/>
    <xf numFmtId="169" fontId="1" fillId="5" borderId="39" xfId="3" applyNumberFormat="1" applyFont="1" applyFill="1" applyBorder="1" applyAlignment="1">
      <alignment horizontal="center" vertical="center"/>
    </xf>
    <xf numFmtId="9" fontId="12" fillId="19" borderId="27" xfId="4" applyFont="1" applyFill="1" applyBorder="1" applyAlignment="1">
      <alignment horizontal="center" vertical="center"/>
    </xf>
    <xf numFmtId="44" fontId="1" fillId="5" borderId="35" xfId="3" applyNumberFormat="1" applyFont="1" applyFill="1" applyBorder="1" applyAlignment="1">
      <alignment horizontal="center" vertical="center"/>
    </xf>
    <xf numFmtId="44" fontId="1" fillId="5" borderId="8" xfId="3" applyNumberFormat="1" applyFont="1" applyFill="1" applyBorder="1" applyAlignment="1">
      <alignment horizontal="center" vertical="center"/>
    </xf>
    <xf numFmtId="169" fontId="15" fillId="0" borderId="26" xfId="3" applyNumberFormat="1" applyFont="1" applyFill="1" applyBorder="1" applyAlignment="1">
      <alignment horizontal="center" vertical="center" wrapText="1"/>
    </xf>
    <xf numFmtId="0" fontId="12" fillId="16" borderId="0" xfId="0" applyFont="1" applyFill="1" applyAlignment="1">
      <alignment horizontal="center"/>
    </xf>
    <xf numFmtId="0" fontId="12" fillId="16" borderId="37" xfId="0" applyFont="1" applyFill="1" applyBorder="1" applyAlignment="1">
      <alignment horizontal="center"/>
    </xf>
    <xf numFmtId="0" fontId="12" fillId="18" borderId="14" xfId="0" applyFont="1" applyFill="1" applyBorder="1" applyAlignment="1">
      <alignment horizontal="left" vertical="center" wrapText="1" indent="1"/>
    </xf>
    <xf numFmtId="0" fontId="4" fillId="0" borderId="9" xfId="0" applyFont="1" applyBorder="1" applyAlignment="1">
      <alignment horizontal="left"/>
    </xf>
    <xf numFmtId="9" fontId="12" fillId="19" borderId="0" xfId="4" applyFont="1" applyFill="1" applyBorder="1" applyAlignment="1">
      <alignment horizontal="center" vertical="center"/>
    </xf>
    <xf numFmtId="0" fontId="12" fillId="3" borderId="37" xfId="0" applyFont="1" applyFill="1" applyBorder="1" applyAlignment="1">
      <alignment horizontal="center"/>
    </xf>
    <xf numFmtId="0" fontId="12" fillId="3" borderId="0" xfId="0" applyFont="1" applyFill="1" applyAlignment="1">
      <alignment horizontal="center"/>
    </xf>
    <xf numFmtId="0" fontId="12" fillId="3" borderId="28" xfId="0" applyFont="1" applyFill="1" applyBorder="1" applyAlignment="1">
      <alignment horizontal="center"/>
    </xf>
    <xf numFmtId="0" fontId="12" fillId="3" borderId="21" xfId="0" applyFont="1" applyFill="1" applyBorder="1" applyAlignment="1">
      <alignment horizontal="center"/>
    </xf>
    <xf numFmtId="0" fontId="15" fillId="0" borderId="0" xfId="0" applyFont="1" applyAlignment="1">
      <alignment horizontal="right" vertical="center" wrapText="1"/>
    </xf>
    <xf numFmtId="169" fontId="15" fillId="0" borderId="48" xfId="3" applyNumberFormat="1" applyFont="1" applyFill="1" applyBorder="1" applyAlignment="1">
      <alignment horizontal="center" vertical="center" wrapText="1"/>
    </xf>
    <xf numFmtId="169" fontId="15" fillId="0" borderId="27" xfId="3" applyNumberFormat="1" applyFont="1" applyFill="1" applyBorder="1" applyAlignment="1">
      <alignment horizontal="center" vertical="center" wrapText="1"/>
    </xf>
    <xf numFmtId="44" fontId="1" fillId="5" borderId="39" xfId="3" applyNumberFormat="1" applyFont="1" applyFill="1" applyBorder="1" applyAlignment="1">
      <alignment horizontal="center" vertical="center"/>
    </xf>
    <xf numFmtId="0" fontId="12" fillId="16" borderId="14" xfId="0" applyFont="1" applyFill="1" applyBorder="1" applyAlignment="1">
      <alignment horizontal="center"/>
    </xf>
    <xf numFmtId="0" fontId="12" fillId="16" borderId="49" xfId="0" applyFont="1" applyFill="1" applyBorder="1" applyAlignment="1">
      <alignment horizontal="center"/>
    </xf>
    <xf numFmtId="169" fontId="12" fillId="14" borderId="50" xfId="3" applyNumberFormat="1" applyFont="1" applyFill="1" applyBorder="1" applyAlignment="1">
      <alignment horizontal="center" vertical="center"/>
    </xf>
    <xf numFmtId="169" fontId="12" fillId="14" borderId="51" xfId="3" applyNumberFormat="1" applyFont="1" applyFill="1" applyBorder="1" applyAlignment="1">
      <alignment horizontal="center" vertical="center"/>
    </xf>
    <xf numFmtId="169" fontId="12" fillId="14" borderId="52" xfId="3" applyNumberFormat="1" applyFont="1" applyFill="1" applyBorder="1" applyAlignment="1">
      <alignment horizontal="center" vertical="center"/>
    </xf>
    <xf numFmtId="169" fontId="12" fillId="14" borderId="53" xfId="3" applyNumberFormat="1" applyFont="1" applyFill="1" applyBorder="1" applyAlignment="1">
      <alignment horizontal="center" vertical="center"/>
    </xf>
    <xf numFmtId="169" fontId="12" fillId="14" borderId="54" xfId="3" applyNumberFormat="1" applyFont="1" applyFill="1" applyBorder="1" applyAlignment="1">
      <alignment horizontal="center" vertical="center"/>
    </xf>
    <xf numFmtId="169" fontId="15" fillId="0" borderId="42" xfId="3" applyNumberFormat="1" applyFont="1" applyFill="1" applyBorder="1" applyAlignment="1">
      <alignment horizontal="center" vertical="center" wrapText="1"/>
    </xf>
    <xf numFmtId="0" fontId="12" fillId="3" borderId="49" xfId="0" applyFont="1" applyFill="1" applyBorder="1" applyAlignment="1">
      <alignment horizontal="center"/>
    </xf>
    <xf numFmtId="169" fontId="15" fillId="0" borderId="18" xfId="3" applyNumberFormat="1" applyFont="1" applyFill="1" applyBorder="1" applyAlignment="1">
      <alignment horizontal="center" vertical="center" wrapText="1"/>
    </xf>
    <xf numFmtId="44" fontId="1" fillId="5" borderId="20" xfId="3" applyNumberFormat="1" applyFont="1" applyFill="1" applyBorder="1" applyAlignment="1">
      <alignment horizontal="center" vertical="center"/>
    </xf>
    <xf numFmtId="9" fontId="12" fillId="14" borderId="61" xfId="4" applyFont="1" applyFill="1" applyBorder="1" applyAlignment="1">
      <alignment horizontal="center" vertical="center"/>
    </xf>
    <xf numFmtId="9" fontId="12" fillId="14" borderId="62" xfId="4" applyFont="1" applyFill="1" applyBorder="1" applyAlignment="1">
      <alignment horizontal="center" vertical="center"/>
    </xf>
    <xf numFmtId="9" fontId="12" fillId="14" borderId="40" xfId="4" applyFont="1" applyFill="1" applyBorder="1" applyAlignment="1">
      <alignment horizontal="center" vertical="center"/>
    </xf>
    <xf numFmtId="0" fontId="12" fillId="3" borderId="8" xfId="0" applyFont="1" applyFill="1" applyBorder="1"/>
    <xf numFmtId="0" fontId="15" fillId="0" borderId="17" xfId="0" applyFont="1" applyBorder="1" applyAlignment="1">
      <alignment horizontal="right" vertical="center" wrapText="1"/>
    </xf>
    <xf numFmtId="0" fontId="3" fillId="0" borderId="0" xfId="0" applyFont="1" applyAlignment="1">
      <alignment horizontal="center"/>
    </xf>
    <xf numFmtId="167" fontId="3" fillId="0" borderId="0" xfId="0" applyNumberFormat="1" applyFont="1" applyAlignment="1">
      <alignment horizontal="center"/>
    </xf>
    <xf numFmtId="41" fontId="1" fillId="21" borderId="29" xfId="3" applyNumberFormat="1" applyFont="1" applyFill="1" applyBorder="1" applyAlignment="1" applyProtection="1">
      <alignment horizontal="center" vertical="center"/>
      <protection locked="0"/>
    </xf>
    <xf numFmtId="41" fontId="1" fillId="21" borderId="16" xfId="3" applyNumberFormat="1" applyFont="1" applyFill="1" applyBorder="1" applyAlignment="1" applyProtection="1">
      <alignment horizontal="center" vertical="center"/>
      <protection locked="0"/>
    </xf>
    <xf numFmtId="41" fontId="1" fillId="21" borderId="20" xfId="3" applyNumberFormat="1" applyFont="1" applyFill="1" applyBorder="1" applyAlignment="1" applyProtection="1">
      <alignment horizontal="center" vertical="center"/>
      <protection locked="0"/>
    </xf>
    <xf numFmtId="41" fontId="1" fillId="21" borderId="15" xfId="3" applyNumberFormat="1" applyFont="1" applyFill="1" applyBorder="1" applyAlignment="1" applyProtection="1">
      <alignment horizontal="center" vertical="center"/>
      <protection locked="0"/>
    </xf>
    <xf numFmtId="41" fontId="1" fillId="21" borderId="19" xfId="3" applyNumberFormat="1" applyFont="1" applyFill="1" applyBorder="1" applyAlignment="1" applyProtection="1">
      <alignment horizontal="center" vertical="center"/>
      <protection locked="0"/>
    </xf>
    <xf numFmtId="41" fontId="1" fillId="21" borderId="30" xfId="3" applyNumberFormat="1" applyFont="1" applyFill="1" applyBorder="1" applyAlignment="1" applyProtection="1">
      <alignment horizontal="center" vertical="center"/>
      <protection locked="0"/>
    </xf>
    <xf numFmtId="41" fontId="12" fillId="21" borderId="19" xfId="3" applyNumberFormat="1" applyFont="1" applyFill="1" applyBorder="1" applyAlignment="1" applyProtection="1">
      <alignment horizontal="center" vertical="center"/>
      <protection locked="0"/>
    </xf>
    <xf numFmtId="41" fontId="12" fillId="21" borderId="30" xfId="3" applyNumberFormat="1" applyFont="1" applyFill="1" applyBorder="1" applyAlignment="1" applyProtection="1">
      <alignment horizontal="center" vertical="center"/>
      <protection locked="0"/>
    </xf>
    <xf numFmtId="0" fontId="12" fillId="2" borderId="14" xfId="0" applyFont="1" applyFill="1" applyBorder="1" applyAlignment="1">
      <alignment vertical="center"/>
    </xf>
    <xf numFmtId="0" fontId="26" fillId="0" borderId="55" xfId="0" applyFont="1" applyBorder="1" applyAlignment="1">
      <alignment wrapText="1"/>
    </xf>
    <xf numFmtId="0" fontId="26" fillId="0" borderId="56" xfId="0" applyFont="1" applyBorder="1" applyAlignment="1">
      <alignment wrapText="1"/>
    </xf>
    <xf numFmtId="0" fontId="26" fillId="0" borderId="57" xfId="0" applyFont="1" applyBorder="1" applyAlignment="1">
      <alignment wrapText="1"/>
    </xf>
    <xf numFmtId="0" fontId="26" fillId="0" borderId="58" xfId="0" applyFont="1" applyBorder="1" applyAlignment="1">
      <alignment wrapText="1"/>
    </xf>
    <xf numFmtId="0" fontId="26" fillId="0" borderId="59" xfId="0" applyFont="1" applyBorder="1" applyAlignment="1">
      <alignment wrapText="1"/>
    </xf>
    <xf numFmtId="0" fontId="26" fillId="0" borderId="60" xfId="0" applyFont="1" applyBorder="1" applyAlignment="1">
      <alignment wrapText="1"/>
    </xf>
    <xf numFmtId="0" fontId="26" fillId="0" borderId="64" xfId="0" applyFont="1" applyBorder="1" applyAlignment="1">
      <alignment wrapText="1"/>
    </xf>
    <xf numFmtId="0" fontId="26" fillId="0" borderId="65" xfId="0" applyFont="1" applyBorder="1" applyAlignment="1">
      <alignment wrapText="1"/>
    </xf>
    <xf numFmtId="1" fontId="12" fillId="23" borderId="44" xfId="3" applyNumberFormat="1" applyFont="1" applyFill="1" applyBorder="1" applyAlignment="1">
      <alignment horizontal="right" vertical="center"/>
    </xf>
    <xf numFmtId="1" fontId="12" fillId="23" borderId="63" xfId="3" applyNumberFormat="1" applyFont="1" applyFill="1" applyBorder="1" applyAlignment="1">
      <alignment horizontal="right" vertical="center"/>
    </xf>
    <xf numFmtId="1" fontId="12" fillId="23" borderId="38" xfId="3" applyNumberFormat="1" applyFont="1" applyFill="1" applyBorder="1" applyAlignment="1">
      <alignment horizontal="right" vertical="center"/>
    </xf>
    <xf numFmtId="41" fontId="1" fillId="21" borderId="35" xfId="3" applyNumberFormat="1" applyFont="1" applyFill="1" applyBorder="1" applyAlignment="1" applyProtection="1">
      <alignment horizontal="center" vertical="center"/>
      <protection locked="0"/>
    </xf>
    <xf numFmtId="41" fontId="1" fillId="21" borderId="46" xfId="3" applyNumberFormat="1" applyFont="1" applyFill="1" applyBorder="1" applyAlignment="1" applyProtection="1">
      <alignment horizontal="center" vertical="center"/>
      <protection locked="0"/>
    </xf>
    <xf numFmtId="41" fontId="1" fillId="21" borderId="36" xfId="3" applyNumberFormat="1" applyFont="1" applyFill="1" applyBorder="1" applyAlignment="1" applyProtection="1">
      <alignment horizontal="center" vertical="center"/>
      <protection locked="0"/>
    </xf>
    <xf numFmtId="41" fontId="1" fillId="21" borderId="63" xfId="3" applyNumberFormat="1" applyFont="1" applyFill="1" applyBorder="1" applyAlignment="1" applyProtection="1">
      <alignment horizontal="center" vertical="center"/>
      <protection locked="0"/>
    </xf>
    <xf numFmtId="41" fontId="1" fillId="21" borderId="41" xfId="3" applyNumberFormat="1" applyFont="1" applyFill="1" applyBorder="1" applyAlignment="1" applyProtection="1">
      <alignment horizontal="center" vertical="center"/>
      <protection locked="0"/>
    </xf>
    <xf numFmtId="168" fontId="1" fillId="8" borderId="10" xfId="0" applyNumberFormat="1" applyFont="1" applyFill="1" applyBorder="1" applyAlignment="1">
      <alignment horizontal="center"/>
    </xf>
    <xf numFmtId="0" fontId="12" fillId="3" borderId="0" xfId="0" applyFont="1" applyFill="1"/>
    <xf numFmtId="0" fontId="12" fillId="2" borderId="8" xfId="0" applyFont="1" applyFill="1" applyBorder="1" applyAlignment="1">
      <alignment vertical="center"/>
    </xf>
    <xf numFmtId="0" fontId="12" fillId="2" borderId="47" xfId="0" applyFont="1" applyFill="1" applyBorder="1" applyAlignment="1">
      <alignment vertical="center"/>
    </xf>
    <xf numFmtId="0" fontId="12" fillId="2" borderId="15" xfId="0" applyFont="1" applyFill="1" applyBorder="1" applyAlignment="1">
      <alignment vertical="center"/>
    </xf>
    <xf numFmtId="0" fontId="12" fillId="3" borderId="47" xfId="0" applyFont="1" applyFill="1" applyBorder="1"/>
    <xf numFmtId="0" fontId="12" fillId="3" borderId="38" xfId="0" applyFont="1" applyFill="1" applyBorder="1"/>
    <xf numFmtId="0" fontId="23" fillId="16" borderId="41" xfId="0" applyFont="1" applyFill="1" applyBorder="1" applyAlignment="1">
      <alignment horizontal="center"/>
    </xf>
    <xf numFmtId="1" fontId="12" fillId="23" borderId="17" xfId="3" applyNumberFormat="1" applyFont="1" applyFill="1" applyBorder="1" applyAlignment="1">
      <alignment horizontal="right" vertical="center"/>
    </xf>
    <xf numFmtId="1" fontId="12" fillId="23" borderId="67" xfId="3" applyNumberFormat="1" applyFont="1" applyFill="1" applyBorder="1" applyAlignment="1">
      <alignment horizontal="right" vertical="center"/>
    </xf>
    <xf numFmtId="1" fontId="12" fillId="23" borderId="68" xfId="3" applyNumberFormat="1" applyFont="1" applyFill="1" applyBorder="1" applyAlignment="1">
      <alignment horizontal="right" vertical="center"/>
    </xf>
    <xf numFmtId="0" fontId="7" fillId="0" borderId="1" xfId="0" applyFont="1" applyBorder="1"/>
    <xf numFmtId="0" fontId="24" fillId="15" borderId="45" xfId="0" applyFont="1" applyFill="1" applyBorder="1" applyAlignment="1">
      <alignment horizontal="left" vertical="center" wrapText="1" indent="1"/>
    </xf>
    <xf numFmtId="0" fontId="7" fillId="13" borderId="0" xfId="0" applyFont="1" applyFill="1"/>
    <xf numFmtId="0" fontId="7" fillId="0" borderId="14" xfId="0" applyFont="1" applyBorder="1" applyAlignment="1">
      <alignment horizontal="center"/>
    </xf>
    <xf numFmtId="0" fontId="7" fillId="12" borderId="0" xfId="0" applyFont="1" applyFill="1" applyAlignment="1">
      <alignment horizontal="center"/>
    </xf>
    <xf numFmtId="167" fontId="7" fillId="12" borderId="0" xfId="0" applyNumberFormat="1" applyFont="1" applyFill="1" applyAlignment="1">
      <alignment horizontal="center"/>
    </xf>
    <xf numFmtId="167" fontId="7" fillId="12" borderId="14" xfId="0" applyNumberFormat="1" applyFont="1" applyFill="1" applyBorder="1" applyAlignment="1">
      <alignment horizontal="center"/>
    </xf>
    <xf numFmtId="0" fontId="7" fillId="8" borderId="14" xfId="0" applyFont="1" applyFill="1" applyBorder="1" applyAlignment="1">
      <alignment horizontal="left"/>
    </xf>
    <xf numFmtId="167" fontId="7" fillId="8" borderId="0" xfId="0" applyNumberFormat="1" applyFont="1" applyFill="1" applyAlignment="1">
      <alignment horizontal="right"/>
    </xf>
    <xf numFmtId="167" fontId="7" fillId="8" borderId="14" xfId="0" applyNumberFormat="1" applyFont="1" applyFill="1" applyBorder="1" applyAlignment="1">
      <alignment horizontal="right"/>
    </xf>
    <xf numFmtId="0" fontId="7" fillId="8" borderId="14" xfId="0" applyFont="1" applyFill="1" applyBorder="1" applyAlignment="1">
      <alignment horizontal="left" indent="1"/>
    </xf>
    <xf numFmtId="0" fontId="7" fillId="0" borderId="0" xfId="0" applyFont="1" applyAlignment="1">
      <alignment horizontal="left" indent="1"/>
    </xf>
    <xf numFmtId="9" fontId="7" fillId="0" borderId="0" xfId="0" applyNumberFormat="1" applyFont="1" applyAlignment="1">
      <alignment horizontal="right"/>
    </xf>
    <xf numFmtId="0" fontId="28" fillId="0" borderId="0" xfId="0" applyFont="1"/>
    <xf numFmtId="0" fontId="17" fillId="0" borderId="0" xfId="0" applyFont="1"/>
    <xf numFmtId="0" fontId="4" fillId="4" borderId="41" xfId="0" applyFont="1" applyFill="1" applyBorder="1" applyAlignment="1">
      <alignment horizontal="center" wrapText="1"/>
    </xf>
    <xf numFmtId="0" fontId="7" fillId="8" borderId="71" xfId="0" applyFont="1" applyFill="1" applyBorder="1" applyAlignment="1">
      <alignment horizontal="center"/>
    </xf>
    <xf numFmtId="0" fontId="7" fillId="8" borderId="72" xfId="0" applyFont="1" applyFill="1" applyBorder="1" applyAlignment="1">
      <alignment horizontal="center"/>
    </xf>
    <xf numFmtId="0" fontId="4" fillId="8" borderId="68" xfId="0" applyFont="1" applyFill="1" applyBorder="1" applyAlignment="1">
      <alignment horizontal="center" wrapText="1"/>
    </xf>
    <xf numFmtId="0" fontId="4" fillId="4" borderId="67" xfId="0" applyFont="1" applyFill="1" applyBorder="1" applyAlignment="1">
      <alignment horizontal="center" wrapText="1"/>
    </xf>
    <xf numFmtId="9" fontId="7" fillId="8" borderId="68" xfId="0" applyNumberFormat="1" applyFont="1" applyFill="1" applyBorder="1" applyAlignment="1">
      <alignment horizontal="center"/>
    </xf>
    <xf numFmtId="9" fontId="7" fillId="8" borderId="75" xfId="0" applyNumberFormat="1" applyFont="1" applyFill="1" applyBorder="1" applyAlignment="1">
      <alignment horizontal="center"/>
    </xf>
    <xf numFmtId="0" fontId="27" fillId="0" borderId="59" xfId="0" applyFont="1" applyBorder="1"/>
    <xf numFmtId="0" fontId="7" fillId="0" borderId="59" xfId="0" applyFont="1" applyBorder="1"/>
    <xf numFmtId="169" fontId="1" fillId="5" borderId="41" xfId="3" applyNumberFormat="1" applyFont="1" applyFill="1" applyBorder="1" applyAlignment="1">
      <alignment horizontal="center" vertical="center"/>
    </xf>
    <xf numFmtId="169" fontId="1" fillId="5" borderId="38" xfId="3" applyNumberFormat="1" applyFont="1" applyFill="1" applyBorder="1" applyAlignment="1">
      <alignment horizontal="center" vertical="center"/>
    </xf>
    <xf numFmtId="0" fontId="12" fillId="0" borderId="0" xfId="0" applyFont="1" applyAlignment="1">
      <alignment horizontal="left" vertical="center" wrapText="1" indent="1"/>
    </xf>
    <xf numFmtId="9" fontId="12" fillId="0" borderId="14" xfId="4" applyFont="1" applyFill="1" applyBorder="1" applyAlignment="1">
      <alignment horizontal="center" vertical="center"/>
    </xf>
    <xf numFmtId="0" fontId="1" fillId="0" borderId="0" xfId="0" applyFont="1" applyAlignment="1">
      <alignment horizontal="left"/>
    </xf>
    <xf numFmtId="169" fontId="12" fillId="0" borderId="0" xfId="3" applyNumberFormat="1" applyFont="1" applyFill="1" applyBorder="1" applyAlignment="1">
      <alignment horizontal="center" vertical="center"/>
    </xf>
    <xf numFmtId="0" fontId="12" fillId="0" borderId="14" xfId="0" applyFont="1" applyBorder="1" applyAlignment="1">
      <alignment horizontal="center"/>
    </xf>
    <xf numFmtId="0" fontId="12" fillId="0" borderId="0" xfId="0" applyFont="1" applyAlignment="1">
      <alignment horizontal="center"/>
    </xf>
    <xf numFmtId="169" fontId="1" fillId="0" borderId="16" xfId="3" applyNumberFormat="1" applyFont="1" applyFill="1" applyBorder="1" applyAlignment="1">
      <alignment horizontal="center" vertical="center"/>
    </xf>
    <xf numFmtId="9" fontId="12" fillId="0" borderId="79" xfId="4" applyFont="1" applyFill="1" applyBorder="1" applyAlignment="1">
      <alignment horizontal="center" vertical="center"/>
    </xf>
    <xf numFmtId="0" fontId="12" fillId="0" borderId="21" xfId="0" applyFont="1" applyBorder="1" applyAlignment="1">
      <alignment horizontal="center"/>
    </xf>
    <xf numFmtId="169" fontId="12" fillId="0" borderId="10" xfId="3" applyNumberFormat="1" applyFont="1" applyFill="1" applyBorder="1" applyAlignment="1">
      <alignment horizontal="center" vertical="center"/>
    </xf>
    <xf numFmtId="169" fontId="12" fillId="0" borderId="12" xfId="3" applyNumberFormat="1" applyFont="1" applyFill="1" applyBorder="1" applyAlignment="1">
      <alignment horizontal="center" vertical="center"/>
    </xf>
    <xf numFmtId="0" fontId="12" fillId="2" borderId="17" xfId="0" applyFont="1" applyFill="1" applyBorder="1" applyAlignment="1">
      <alignment vertical="center"/>
    </xf>
    <xf numFmtId="0" fontId="12" fillId="2" borderId="38" xfId="0" applyFont="1" applyFill="1" applyBorder="1" applyAlignment="1">
      <alignment vertical="center"/>
    </xf>
    <xf numFmtId="0" fontId="12" fillId="2" borderId="80" xfId="0" applyFont="1" applyFill="1" applyBorder="1" applyAlignment="1">
      <alignment vertical="center" wrapText="1"/>
    </xf>
    <xf numFmtId="0" fontId="12" fillId="2" borderId="47" xfId="0" applyFont="1" applyFill="1" applyBorder="1" applyAlignment="1">
      <alignment vertical="center" wrapText="1"/>
    </xf>
    <xf numFmtId="0" fontId="15" fillId="0" borderId="16" xfId="0" applyFont="1" applyBorder="1" applyAlignment="1">
      <alignment horizontal="right" vertical="center" wrapText="1"/>
    </xf>
    <xf numFmtId="169" fontId="12" fillId="14" borderId="82" xfId="3" applyNumberFormat="1" applyFont="1" applyFill="1" applyBorder="1" applyAlignment="1">
      <alignment horizontal="center" vertical="center"/>
    </xf>
    <xf numFmtId="169" fontId="12" fillId="14" borderId="83" xfId="3" applyNumberFormat="1" applyFont="1" applyFill="1" applyBorder="1" applyAlignment="1">
      <alignment horizontal="center" vertical="center"/>
    </xf>
    <xf numFmtId="0" fontId="12" fillId="16" borderId="21" xfId="0" applyFont="1" applyFill="1" applyBorder="1" applyAlignment="1">
      <alignment horizontal="center"/>
    </xf>
    <xf numFmtId="0" fontId="12" fillId="3" borderId="27" xfId="0" applyFont="1" applyFill="1" applyBorder="1" applyAlignment="1">
      <alignment horizontal="center"/>
    </xf>
    <xf numFmtId="0" fontId="12" fillId="3" borderId="69" xfId="0" applyFont="1" applyFill="1" applyBorder="1" applyAlignment="1">
      <alignment horizontal="center"/>
    </xf>
    <xf numFmtId="0" fontId="27" fillId="0" borderId="0" xfId="0" applyFont="1"/>
    <xf numFmtId="9" fontId="12" fillId="19" borderId="69" xfId="4" applyFont="1" applyFill="1" applyBorder="1" applyAlignment="1">
      <alignment horizontal="center" vertical="center"/>
    </xf>
    <xf numFmtId="0" fontId="3" fillId="0" borderId="9" xfId="0" applyFont="1" applyBorder="1"/>
    <xf numFmtId="169" fontId="12" fillId="0" borderId="1" xfId="3" applyNumberFormat="1" applyFont="1" applyFill="1" applyBorder="1" applyAlignment="1">
      <alignment horizontal="center" vertical="center"/>
    </xf>
    <xf numFmtId="9" fontId="12" fillId="19" borderId="21" xfId="4" applyFont="1" applyFill="1" applyBorder="1" applyAlignment="1">
      <alignment horizontal="center" vertical="center"/>
    </xf>
    <xf numFmtId="9" fontId="12" fillId="19" borderId="85" xfId="4" applyFont="1" applyFill="1" applyBorder="1" applyAlignment="1">
      <alignment horizontal="center" vertical="center"/>
    </xf>
    <xf numFmtId="0" fontId="30" fillId="0" borderId="59" xfId="0" applyFont="1" applyBorder="1"/>
    <xf numFmtId="0" fontId="4" fillId="0" borderId="56" xfId="0" applyFont="1" applyBorder="1"/>
    <xf numFmtId="0" fontId="12" fillId="18" borderId="27" xfId="0" applyFont="1" applyFill="1" applyBorder="1" applyAlignment="1">
      <alignment horizontal="left" vertical="center" wrapText="1" indent="1"/>
    </xf>
    <xf numFmtId="0" fontId="12" fillId="2" borderId="39" xfId="0" applyFont="1" applyFill="1" applyBorder="1" applyAlignment="1">
      <alignment vertical="center" wrapText="1"/>
    </xf>
    <xf numFmtId="0" fontId="12" fillId="2" borderId="86" xfId="0" applyFont="1" applyFill="1" applyBorder="1" applyAlignment="1">
      <alignment horizontal="left" vertical="center" wrapText="1" indent="1"/>
    </xf>
    <xf numFmtId="0" fontId="12" fillId="18" borderId="0" xfId="0" applyFont="1" applyFill="1" applyAlignment="1">
      <alignment horizontal="left" vertical="center" wrapText="1" indent="1"/>
    </xf>
    <xf numFmtId="167" fontId="25" fillId="0" borderId="15" xfId="0" applyNumberFormat="1" applyFont="1" applyBorder="1" applyAlignment="1">
      <alignment horizontal="left"/>
    </xf>
    <xf numFmtId="0" fontId="12" fillId="3" borderId="15" xfId="0" applyFont="1" applyFill="1" applyBorder="1"/>
    <xf numFmtId="167" fontId="7" fillId="4" borderId="67" xfId="0" applyNumberFormat="1" applyFont="1" applyFill="1" applyBorder="1" applyAlignment="1" applyProtection="1">
      <alignment horizontal="center"/>
      <protection locked="0"/>
    </xf>
    <xf numFmtId="167" fontId="7" fillId="4" borderId="52" xfId="0" applyNumberFormat="1" applyFont="1" applyFill="1" applyBorder="1" applyAlignment="1" applyProtection="1">
      <alignment horizontal="center"/>
      <protection locked="0"/>
    </xf>
    <xf numFmtId="167" fontId="7" fillId="4" borderId="41" xfId="0" applyNumberFormat="1" applyFont="1" applyFill="1" applyBorder="1" applyAlignment="1" applyProtection="1">
      <alignment horizontal="center"/>
      <protection locked="0"/>
    </xf>
    <xf numFmtId="167" fontId="7" fillId="4" borderId="77" xfId="0" applyNumberFormat="1" applyFont="1" applyFill="1" applyBorder="1" applyAlignment="1" applyProtection="1">
      <alignment horizontal="center"/>
      <protection locked="0"/>
    </xf>
    <xf numFmtId="164" fontId="1" fillId="0" borderId="0" xfId="0" applyNumberFormat="1" applyFont="1" applyAlignment="1">
      <alignment horizontal="right" vertical="center"/>
    </xf>
    <xf numFmtId="165" fontId="1" fillId="0" borderId="0" xfId="0" applyNumberFormat="1" applyFont="1" applyAlignment="1">
      <alignment horizontal="right"/>
    </xf>
    <xf numFmtId="166" fontId="1" fillId="0" borderId="0" xfId="0" applyNumberFormat="1" applyFont="1" applyAlignment="1">
      <alignment horizontal="right" vertical="center"/>
    </xf>
    <xf numFmtId="0" fontId="1" fillId="0" borderId="0" xfId="0" applyFont="1" applyAlignment="1">
      <alignment horizontal="center"/>
    </xf>
    <xf numFmtId="167" fontId="1" fillId="0" borderId="0" xfId="0" applyNumberFormat="1" applyFont="1" applyAlignment="1">
      <alignment horizontal="right"/>
    </xf>
    <xf numFmtId="0" fontId="1" fillId="0" borderId="1" xfId="0" applyFont="1" applyBorder="1"/>
    <xf numFmtId="167" fontId="1" fillId="0" borderId="1" xfId="0" applyNumberFormat="1" applyFont="1" applyBorder="1" applyAlignment="1">
      <alignment horizontal="right"/>
    </xf>
    <xf numFmtId="0" fontId="1" fillId="0" borderId="1" xfId="0" applyFont="1" applyBorder="1" applyAlignment="1">
      <alignment horizontal="left"/>
    </xf>
    <xf numFmtId="167" fontId="1" fillId="0" borderId="16" xfId="0" applyNumberFormat="1" applyFont="1" applyBorder="1" applyAlignment="1">
      <alignment horizontal="right"/>
    </xf>
    <xf numFmtId="1" fontId="1" fillId="0" borderId="0" xfId="0" applyNumberFormat="1" applyFont="1"/>
    <xf numFmtId="9" fontId="1" fillId="8" borderId="36" xfId="0" applyNumberFormat="1" applyFont="1" applyFill="1" applyBorder="1" applyAlignment="1">
      <alignment horizontal="center"/>
    </xf>
    <xf numFmtId="0" fontId="1" fillId="0" borderId="14" xfId="0" applyFont="1" applyBorder="1"/>
    <xf numFmtId="1" fontId="1" fillId="4" borderId="15" xfId="3" applyNumberFormat="1" applyFont="1" applyFill="1" applyBorder="1" applyAlignment="1" applyProtection="1">
      <alignment horizontal="center" vertical="center"/>
      <protection locked="0"/>
    </xf>
    <xf numFmtId="167" fontId="1" fillId="8" borderId="42" xfId="0" applyNumberFormat="1" applyFont="1" applyFill="1" applyBorder="1" applyAlignment="1">
      <alignment horizontal="center"/>
    </xf>
    <xf numFmtId="9" fontId="1" fillId="8" borderId="38" xfId="4" applyFont="1" applyFill="1" applyBorder="1" applyAlignment="1">
      <alignment horizontal="center"/>
    </xf>
    <xf numFmtId="170" fontId="1" fillId="8" borderId="42" xfId="0" applyNumberFormat="1" applyFont="1" applyFill="1" applyBorder="1" applyAlignment="1">
      <alignment horizontal="right"/>
    </xf>
    <xf numFmtId="2" fontId="1" fillId="0" borderId="0" xfId="0" applyNumberFormat="1" applyFont="1"/>
    <xf numFmtId="1" fontId="1" fillId="8" borderId="48" xfId="0" applyNumberFormat="1" applyFont="1" applyFill="1" applyBorder="1" applyAlignment="1">
      <alignment horizontal="center"/>
    </xf>
    <xf numFmtId="167" fontId="1" fillId="0" borderId="12" xfId="0" applyNumberFormat="1" applyFont="1" applyBorder="1" applyAlignment="1">
      <alignment horizontal="right"/>
    </xf>
    <xf numFmtId="9" fontId="1" fillId="0" borderId="0" xfId="4" applyFont="1" applyAlignment="1">
      <alignment horizontal="center"/>
    </xf>
    <xf numFmtId="0" fontId="1" fillId="0" borderId="0" xfId="0" applyFont="1" applyAlignment="1">
      <alignment horizontal="right"/>
    </xf>
    <xf numFmtId="0" fontId="1" fillId="0" borderId="56" xfId="0" applyFont="1" applyBorder="1"/>
    <xf numFmtId="0" fontId="1" fillId="20" borderId="0" xfId="0" applyFont="1" applyFill="1" applyAlignment="1">
      <alignment horizontal="left"/>
    </xf>
    <xf numFmtId="0" fontId="1" fillId="20" borderId="0" xfId="0" applyFont="1" applyFill="1" applyAlignment="1">
      <alignment horizontal="right"/>
    </xf>
    <xf numFmtId="0" fontId="1" fillId="20" borderId="0" xfId="0" applyFont="1" applyFill="1"/>
    <xf numFmtId="167" fontId="1" fillId="20" borderId="0" xfId="0" applyNumberFormat="1" applyFont="1" applyFill="1" applyAlignment="1">
      <alignment horizontal="right"/>
    </xf>
    <xf numFmtId="0" fontId="1" fillId="17" borderId="37" xfId="0" applyFont="1" applyFill="1" applyBorder="1"/>
    <xf numFmtId="0" fontId="1" fillId="17" borderId="0" xfId="0" applyFont="1" applyFill="1"/>
    <xf numFmtId="167" fontId="1" fillId="17" borderId="18" xfId="0" applyNumberFormat="1" applyFont="1" applyFill="1" applyBorder="1" applyAlignment="1">
      <alignment horizontal="right"/>
    </xf>
    <xf numFmtId="167" fontId="1" fillId="17" borderId="27" xfId="0" applyNumberFormat="1" applyFont="1" applyFill="1" applyBorder="1" applyAlignment="1">
      <alignment horizontal="right"/>
    </xf>
    <xf numFmtId="9" fontId="1" fillId="0" borderId="0" xfId="4" applyFont="1" applyFill="1" applyAlignment="1">
      <alignment horizontal="center"/>
    </xf>
    <xf numFmtId="167" fontId="1" fillId="0" borderId="69" xfId="0" applyNumberFormat="1" applyFont="1" applyBorder="1" applyAlignment="1">
      <alignment horizontal="right"/>
    </xf>
    <xf numFmtId="1" fontId="1" fillId="4" borderId="41" xfId="3" applyNumberFormat="1" applyFont="1" applyFill="1" applyBorder="1" applyAlignment="1" applyProtection="1">
      <alignment horizontal="center" vertical="center"/>
      <protection locked="0"/>
    </xf>
    <xf numFmtId="1" fontId="1" fillId="4" borderId="0" xfId="3" applyNumberFormat="1" applyFont="1" applyFill="1" applyBorder="1" applyAlignment="1" applyProtection="1">
      <alignment horizontal="center" vertical="center"/>
      <protection locked="0"/>
    </xf>
    <xf numFmtId="0" fontId="1" fillId="0" borderId="21" xfId="0" applyFont="1" applyBorder="1"/>
    <xf numFmtId="9" fontId="1" fillId="8" borderId="41" xfId="4" applyFont="1" applyFill="1" applyBorder="1" applyAlignment="1">
      <alignment horizontal="center"/>
    </xf>
    <xf numFmtId="170" fontId="1" fillId="8" borderId="41" xfId="0" applyNumberFormat="1" applyFont="1" applyFill="1" applyBorder="1" applyAlignment="1">
      <alignment horizontal="right"/>
    </xf>
    <xf numFmtId="167" fontId="1" fillId="8" borderId="38" xfId="0" applyNumberFormat="1" applyFont="1" applyFill="1" applyBorder="1" applyAlignment="1">
      <alignment horizontal="center"/>
    </xf>
    <xf numFmtId="167" fontId="1" fillId="8" borderId="41" xfId="0" applyNumberFormat="1" applyFont="1" applyFill="1" applyBorder="1" applyAlignment="1">
      <alignment horizontal="center"/>
    </xf>
    <xf numFmtId="167" fontId="1" fillId="0" borderId="14" xfId="0" applyNumberFormat="1" applyFont="1" applyBorder="1" applyAlignment="1">
      <alignment horizontal="right"/>
    </xf>
    <xf numFmtId="0" fontId="1" fillId="0" borderId="12" xfId="0" applyFont="1" applyBorder="1" applyAlignment="1">
      <alignment horizontal="center"/>
    </xf>
    <xf numFmtId="9" fontId="1" fillId="0" borderId="0" xfId="0" applyNumberFormat="1" applyFont="1"/>
    <xf numFmtId="9" fontId="1" fillId="0" borderId="0" xfId="0" applyNumberFormat="1" applyFont="1" applyAlignment="1">
      <alignment horizontal="right"/>
    </xf>
    <xf numFmtId="0" fontId="1" fillId="0" borderId="91" xfId="0" applyFont="1" applyBorder="1" applyAlignment="1">
      <alignment horizontal="center"/>
    </xf>
    <xf numFmtId="0" fontId="1" fillId="0" borderId="91" xfId="0" applyFont="1" applyBorder="1"/>
    <xf numFmtId="0" fontId="4" fillId="0" borderId="95" xfId="0" applyFont="1" applyBorder="1"/>
    <xf numFmtId="0" fontId="3" fillId="0" borderId="95" xfId="0" applyFont="1" applyBorder="1"/>
    <xf numFmtId="0" fontId="31" fillId="0" borderId="0" xfId="0" applyFont="1"/>
    <xf numFmtId="0" fontId="32" fillId="0" borderId="0" xfId="0" applyFont="1"/>
    <xf numFmtId="0" fontId="12" fillId="22" borderId="93" xfId="0" applyFont="1" applyFill="1" applyBorder="1" applyAlignment="1">
      <alignment horizontal="left" vertical="center" wrapText="1"/>
    </xf>
    <xf numFmtId="0" fontId="12" fillId="22" borderId="94" xfId="0" applyFont="1" applyFill="1" applyBorder="1" applyAlignment="1">
      <alignment horizontal="left" vertical="center" wrapText="1"/>
    </xf>
    <xf numFmtId="0" fontId="1"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12" fillId="2" borderId="51" xfId="0" applyFont="1" applyFill="1" applyBorder="1" applyAlignment="1">
      <alignment horizontal="left" vertical="center" wrapText="1" indent="1"/>
    </xf>
    <xf numFmtId="0" fontId="12" fillId="2" borderId="12" xfId="0" applyFont="1" applyFill="1" applyBorder="1" applyAlignment="1">
      <alignment horizontal="left" vertical="center" wrapText="1" indent="1"/>
    </xf>
    <xf numFmtId="0" fontId="12" fillId="2" borderId="53" xfId="0" applyFont="1" applyFill="1" applyBorder="1" applyAlignment="1">
      <alignment horizontal="left" vertical="center" wrapText="1" indent="1"/>
    </xf>
    <xf numFmtId="0" fontId="12" fillId="2" borderId="17" xfId="0" applyFont="1" applyFill="1" applyBorder="1" applyAlignment="1">
      <alignment horizontal="left" vertical="center" wrapText="1"/>
    </xf>
    <xf numFmtId="0" fontId="24" fillId="15" borderId="17" xfId="0" applyFont="1" applyFill="1" applyBorder="1" applyAlignment="1">
      <alignment horizontal="left" vertical="center" wrapText="1" indent="1"/>
    </xf>
    <xf numFmtId="167" fontId="11" fillId="0" borderId="0" xfId="0" applyNumberFormat="1" applyFont="1" applyAlignment="1">
      <alignment horizontal="left" vertical="top" wrapText="1"/>
    </xf>
    <xf numFmtId="167" fontId="11" fillId="0" borderId="9" xfId="0" applyNumberFormat="1" applyFont="1" applyBorder="1" applyAlignment="1">
      <alignment horizontal="left" vertical="top" wrapText="1"/>
    </xf>
    <xf numFmtId="0" fontId="1" fillId="8" borderId="0" xfId="0" applyFont="1" applyFill="1" applyAlignment="1">
      <alignment horizontal="left"/>
    </xf>
    <xf numFmtId="0" fontId="26" fillId="11" borderId="16" xfId="0" applyFont="1" applyFill="1" applyBorder="1" applyAlignment="1">
      <alignment horizontal="center" vertical="center"/>
    </xf>
    <xf numFmtId="2" fontId="5" fillId="0" borderId="0" xfId="0" applyNumberFormat="1" applyFont="1" applyAlignment="1">
      <alignment horizontal="center" vertical="center" wrapText="1"/>
    </xf>
    <xf numFmtId="1" fontId="5" fillId="8" borderId="22" xfId="0" applyNumberFormat="1" applyFont="1" applyFill="1" applyBorder="1" applyAlignment="1">
      <alignment horizontal="center" vertical="center" wrapText="1"/>
    </xf>
    <xf numFmtId="1" fontId="5" fillId="8" borderId="23" xfId="0" applyNumberFormat="1" applyFont="1" applyFill="1" applyBorder="1" applyAlignment="1">
      <alignment horizontal="center" vertical="center" wrapText="1"/>
    </xf>
    <xf numFmtId="1" fontId="5" fillId="8" borderId="26" xfId="0" applyNumberFormat="1" applyFont="1" applyFill="1" applyBorder="1" applyAlignment="1">
      <alignment horizontal="center" vertical="center" wrapText="1"/>
    </xf>
    <xf numFmtId="1" fontId="5" fillId="8" borderId="0" xfId="0" applyNumberFormat="1" applyFont="1" applyFill="1" applyAlignment="1">
      <alignment horizontal="center" vertical="center" wrapText="1"/>
    </xf>
    <xf numFmtId="0" fontId="29" fillId="16" borderId="81" xfId="0" applyFont="1" applyFill="1" applyBorder="1" applyAlignment="1">
      <alignment horizontal="center"/>
    </xf>
    <xf numFmtId="0" fontId="29" fillId="16" borderId="23" xfId="0" applyFont="1" applyFill="1" applyBorder="1" applyAlignment="1">
      <alignment horizontal="center"/>
    </xf>
    <xf numFmtId="0" fontId="29" fillId="16" borderId="25" xfId="0" applyFont="1" applyFill="1" applyBorder="1" applyAlignment="1">
      <alignment horizontal="center"/>
    </xf>
    <xf numFmtId="0" fontId="29" fillId="16" borderId="22" xfId="0" applyFont="1" applyFill="1" applyBorder="1" applyAlignment="1">
      <alignment horizontal="center"/>
    </xf>
    <xf numFmtId="0" fontId="29" fillId="16" borderId="24" xfId="0" applyFont="1" applyFill="1" applyBorder="1" applyAlignment="1">
      <alignment horizontal="center"/>
    </xf>
    <xf numFmtId="0" fontId="5" fillId="8" borderId="2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27" xfId="0" applyFont="1" applyFill="1" applyBorder="1" applyAlignment="1">
      <alignment horizontal="center" vertical="center" wrapText="1"/>
    </xf>
    <xf numFmtId="0" fontId="23" fillId="16" borderId="84" xfId="0" applyFont="1" applyFill="1" applyBorder="1" applyAlignment="1">
      <alignment horizontal="center" vertical="top" wrapText="1"/>
    </xf>
    <xf numFmtId="0" fontId="23" fillId="16" borderId="16" xfId="0" applyFont="1" applyFill="1" applyBorder="1" applyAlignment="1">
      <alignment horizontal="center" vertical="top" wrapText="1"/>
    </xf>
    <xf numFmtId="0" fontId="23" fillId="16" borderId="39" xfId="0" applyFont="1" applyFill="1" applyBorder="1" applyAlignment="1">
      <alignment horizontal="center" vertical="top" wrapText="1"/>
    </xf>
    <xf numFmtId="0" fontId="23" fillId="16" borderId="29" xfId="0" applyFont="1" applyFill="1" applyBorder="1" applyAlignment="1">
      <alignment horizontal="center" vertical="top" wrapText="1"/>
    </xf>
    <xf numFmtId="0" fontId="23" fillId="16" borderId="20" xfId="0" applyFont="1" applyFill="1" applyBorder="1" applyAlignment="1">
      <alignment horizontal="center" vertical="top" wrapText="1"/>
    </xf>
    <xf numFmtId="0" fontId="16" fillId="0" borderId="0" xfId="0" applyFont="1" applyAlignment="1">
      <alignment horizontal="left" wrapText="1"/>
    </xf>
    <xf numFmtId="0" fontId="4" fillId="0" borderId="9" xfId="0" applyFont="1" applyBorder="1" applyAlignment="1">
      <alignment horizontal="left"/>
    </xf>
    <xf numFmtId="0" fontId="16" fillId="11" borderId="29"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6" fillId="11" borderId="20" xfId="0" applyFont="1" applyFill="1" applyBorder="1" applyAlignment="1">
      <alignment horizontal="center" vertical="center" wrapText="1"/>
    </xf>
    <xf numFmtId="2" fontId="3" fillId="11" borderId="84" xfId="0" applyNumberFormat="1" applyFont="1" applyFill="1" applyBorder="1" applyAlignment="1">
      <alignment horizontal="center" vertical="center" wrapText="1"/>
    </xf>
    <xf numFmtId="2" fontId="3" fillId="11" borderId="16" xfId="0" applyNumberFormat="1" applyFont="1" applyFill="1" applyBorder="1" applyAlignment="1">
      <alignment horizontal="center" vertical="center" wrapText="1"/>
    </xf>
    <xf numFmtId="2" fontId="3" fillId="11" borderId="39" xfId="0" applyNumberFormat="1" applyFont="1" applyFill="1" applyBorder="1" applyAlignment="1">
      <alignment horizontal="center" vertical="center" wrapText="1"/>
    </xf>
    <xf numFmtId="2" fontId="5" fillId="11" borderId="78" xfId="0" applyNumberFormat="1" applyFont="1" applyFill="1" applyBorder="1" applyAlignment="1">
      <alignment horizontal="center" wrapText="1"/>
    </xf>
    <xf numFmtId="2" fontId="5" fillId="11" borderId="0" xfId="0" applyNumberFormat="1" applyFont="1" applyFill="1" applyAlignment="1">
      <alignment horizontal="center" wrapText="1"/>
    </xf>
    <xf numFmtId="2" fontId="5" fillId="11" borderId="27" xfId="0" applyNumberFormat="1" applyFont="1" applyFill="1" applyBorder="1" applyAlignment="1">
      <alignment horizontal="center" wrapText="1"/>
    </xf>
    <xf numFmtId="0" fontId="15" fillId="11" borderId="26" xfId="0" applyFont="1" applyFill="1" applyBorder="1" applyAlignment="1">
      <alignment horizontal="center"/>
    </xf>
    <xf numFmtId="0" fontId="15" fillId="11" borderId="0" xfId="0" applyFont="1" applyFill="1" applyAlignment="1">
      <alignment horizontal="center"/>
    </xf>
    <xf numFmtId="0" fontId="15" fillId="11" borderId="18" xfId="0" applyFont="1" applyFill="1" applyBorder="1" applyAlignment="1">
      <alignment horizontal="center"/>
    </xf>
    <xf numFmtId="0" fontId="13" fillId="0" borderId="0" xfId="0" applyFont="1" applyAlignment="1">
      <alignment horizontal="left" wrapText="1"/>
    </xf>
    <xf numFmtId="0" fontId="5" fillId="0" borderId="0" xfId="0" applyFont="1" applyAlignment="1">
      <alignment horizontal="left" vertical="top" wrapText="1"/>
    </xf>
    <xf numFmtId="0" fontId="15" fillId="0" borderId="0" xfId="0" applyFont="1" applyAlignment="1">
      <alignment horizontal="left" vertical="top"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7" xfId="0" applyFont="1" applyFill="1" applyBorder="1" applyAlignment="1">
      <alignment horizontal="left" vertical="center" wrapText="1"/>
    </xf>
    <xf numFmtId="0" fontId="12" fillId="2" borderId="10" xfId="0" applyFont="1" applyFill="1" applyBorder="1" applyAlignment="1">
      <alignment horizontal="left" vertical="center" wrapText="1" indent="1"/>
    </xf>
    <xf numFmtId="0" fontId="12" fillId="2" borderId="86" xfId="0" applyFont="1" applyFill="1" applyBorder="1" applyAlignment="1">
      <alignment horizontal="left" vertical="center" wrapText="1" indent="1"/>
    </xf>
    <xf numFmtId="0" fontId="12" fillId="2" borderId="12" xfId="0" applyFont="1" applyFill="1" applyBorder="1" applyAlignment="1">
      <alignment horizontal="left" vertical="center" wrapText="1"/>
    </xf>
    <xf numFmtId="0" fontId="12" fillId="2" borderId="16" xfId="0" applyFont="1" applyFill="1" applyBorder="1" applyAlignment="1">
      <alignment horizontal="left" vertical="center" wrapText="1"/>
    </xf>
    <xf numFmtId="9" fontId="1" fillId="8" borderId="66" xfId="0" applyNumberFormat="1" applyFont="1" applyFill="1" applyBorder="1" applyAlignment="1">
      <alignment horizontal="center"/>
    </xf>
    <xf numFmtId="9" fontId="1" fillId="8" borderId="80" xfId="0" applyNumberFormat="1" applyFont="1" applyFill="1" applyBorder="1" applyAlignment="1">
      <alignment horizontal="center"/>
    </xf>
    <xf numFmtId="1" fontId="1" fillId="8" borderId="10" xfId="0" applyNumberFormat="1" applyFont="1" applyFill="1" applyBorder="1" applyAlignment="1">
      <alignment horizontal="center"/>
    </xf>
    <xf numFmtId="1" fontId="1" fillId="8" borderId="42" xfId="0" applyNumberFormat="1" applyFont="1" applyFill="1" applyBorder="1" applyAlignment="1">
      <alignment horizontal="center"/>
    </xf>
    <xf numFmtId="0" fontId="12" fillId="16" borderId="22" xfId="0" applyFont="1" applyFill="1" applyBorder="1" applyAlignment="1">
      <alignment horizontal="center"/>
    </xf>
    <xf numFmtId="0" fontId="12" fillId="16" borderId="23" xfId="0" applyFont="1" applyFill="1" applyBorder="1" applyAlignment="1">
      <alignment horizontal="center"/>
    </xf>
    <xf numFmtId="0" fontId="12" fillId="16" borderId="24" xfId="0" applyFont="1" applyFill="1" applyBorder="1" applyAlignment="1">
      <alignment horizontal="center"/>
    </xf>
    <xf numFmtId="0" fontId="12" fillId="16" borderId="25" xfId="0" applyFont="1" applyFill="1" applyBorder="1" applyAlignment="1">
      <alignment horizontal="center"/>
    </xf>
    <xf numFmtId="1" fontId="5" fillId="8" borderId="18" xfId="0" applyNumberFormat="1" applyFont="1" applyFill="1" applyBorder="1" applyAlignment="1">
      <alignment horizontal="center" vertical="center" wrapText="1"/>
    </xf>
    <xf numFmtId="2" fontId="5" fillId="8" borderId="0" xfId="0" applyNumberFormat="1" applyFont="1" applyFill="1" applyAlignment="1">
      <alignment horizontal="center" vertical="center" wrapText="1"/>
    </xf>
    <xf numFmtId="2" fontId="5" fillId="8" borderId="27" xfId="0" applyNumberFormat="1" applyFont="1" applyFill="1" applyBorder="1" applyAlignment="1">
      <alignment horizontal="center" vertical="center" wrapText="1"/>
    </xf>
    <xf numFmtId="0" fontId="3" fillId="0" borderId="9" xfId="0" applyFont="1" applyBorder="1" applyAlignment="1">
      <alignment horizontal="left"/>
    </xf>
    <xf numFmtId="0" fontId="24" fillId="15" borderId="45" xfId="0" applyFont="1" applyFill="1" applyBorder="1" applyAlignment="1">
      <alignment horizontal="left" vertical="center" wrapText="1" indent="1"/>
    </xf>
    <xf numFmtId="0" fontId="12" fillId="2" borderId="38"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45" xfId="0" applyFont="1" applyFill="1" applyBorder="1" applyAlignment="1">
      <alignment horizontal="left" vertical="center" wrapText="1" indent="1"/>
    </xf>
    <xf numFmtId="0" fontId="24" fillId="24" borderId="0" xfId="0" applyFont="1" applyFill="1" applyAlignment="1">
      <alignment horizontal="left" vertical="center" wrapText="1" indent="1"/>
    </xf>
    <xf numFmtId="0" fontId="24" fillId="24" borderId="27" xfId="0" applyFont="1" applyFill="1" applyBorder="1" applyAlignment="1">
      <alignment horizontal="left" vertical="center" wrapText="1" indent="1"/>
    </xf>
    <xf numFmtId="0" fontId="24" fillId="24" borderId="17" xfId="0" applyFont="1" applyFill="1" applyBorder="1" applyAlignment="1">
      <alignment horizontal="left" vertical="center" wrapText="1" indent="1"/>
    </xf>
    <xf numFmtId="0" fontId="24" fillId="24" borderId="45" xfId="0" applyFont="1" applyFill="1" applyBorder="1" applyAlignment="1">
      <alignment horizontal="left" vertical="center" wrapText="1" indent="1"/>
    </xf>
    <xf numFmtId="0" fontId="24" fillId="24" borderId="16" xfId="0" applyFont="1" applyFill="1" applyBorder="1" applyAlignment="1">
      <alignment horizontal="left" vertical="center" wrapText="1" indent="1"/>
    </xf>
    <xf numFmtId="0" fontId="24" fillId="24" borderId="39" xfId="0" applyFont="1" applyFill="1" applyBorder="1" applyAlignment="1">
      <alignment horizontal="left" vertical="center" wrapText="1" indent="1"/>
    </xf>
    <xf numFmtId="0" fontId="12" fillId="22" borderId="38" xfId="0" applyFont="1" applyFill="1" applyBorder="1" applyAlignment="1">
      <alignment horizontal="left" vertical="center" wrapText="1" indent="1"/>
    </xf>
    <xf numFmtId="0" fontId="12" fillId="22" borderId="17" xfId="0" applyFont="1" applyFill="1" applyBorder="1" applyAlignment="1">
      <alignment horizontal="left" vertical="center" wrapText="1" indent="1"/>
    </xf>
    <xf numFmtId="0" fontId="12" fillId="22" borderId="45" xfId="0" applyFont="1" applyFill="1" applyBorder="1" applyAlignment="1">
      <alignment horizontal="left" vertical="center" wrapText="1" indent="1"/>
    </xf>
    <xf numFmtId="0" fontId="26" fillId="11" borderId="17" xfId="0" applyFont="1" applyFill="1" applyBorder="1" applyAlignment="1">
      <alignment horizontal="center" vertical="center"/>
    </xf>
    <xf numFmtId="0" fontId="26" fillId="11" borderId="45" xfId="0" applyFont="1" applyFill="1" applyBorder="1" applyAlignment="1">
      <alignment horizontal="center" vertical="center"/>
    </xf>
    <xf numFmtId="0" fontId="12" fillId="2" borderId="45" xfId="0" applyFont="1" applyFill="1" applyBorder="1" applyAlignment="1">
      <alignment horizontal="left" vertical="center" wrapText="1"/>
    </xf>
    <xf numFmtId="0" fontId="17" fillId="0" borderId="73" xfId="0" applyFont="1" applyBorder="1" applyAlignment="1">
      <alignment horizontal="center"/>
    </xf>
    <xf numFmtId="0" fontId="17" fillId="0" borderId="74" xfId="0" applyFont="1" applyBorder="1" applyAlignment="1">
      <alignment horizontal="center"/>
    </xf>
    <xf numFmtId="0" fontId="17" fillId="0" borderId="70" xfId="0" applyFont="1" applyBorder="1" applyAlignment="1">
      <alignment horizontal="center" wrapText="1"/>
    </xf>
    <xf numFmtId="0" fontId="17" fillId="0" borderId="71" xfId="0" applyFont="1" applyBorder="1" applyAlignment="1">
      <alignment horizontal="center" wrapText="1"/>
    </xf>
    <xf numFmtId="0" fontId="17" fillId="0" borderId="76" xfId="0" applyFont="1" applyBorder="1" applyAlignment="1">
      <alignment horizontal="center"/>
    </xf>
    <xf numFmtId="0" fontId="14" fillId="13" borderId="0" xfId="0" applyFont="1" applyFill="1" applyAlignment="1">
      <alignment horizontal="center"/>
    </xf>
    <xf numFmtId="0" fontId="14" fillId="13" borderId="14" xfId="0" applyFont="1" applyFill="1" applyBorder="1" applyAlignment="1">
      <alignment horizontal="center"/>
    </xf>
    <xf numFmtId="0" fontId="18" fillId="0" borderId="13" xfId="0" applyFont="1" applyBorder="1" applyAlignment="1">
      <alignment horizontal="center" wrapText="1"/>
    </xf>
    <xf numFmtId="0" fontId="18" fillId="11" borderId="43" xfId="0" applyFont="1" applyFill="1" applyBorder="1" applyAlignment="1">
      <alignment horizontal="center"/>
    </xf>
    <xf numFmtId="0" fontId="18" fillId="4" borderId="43" xfId="0" applyFont="1" applyFill="1" applyBorder="1" applyAlignment="1">
      <alignment horizontal="center"/>
    </xf>
  </cellXfs>
  <cellStyles count="6">
    <cellStyle name="Comma" xfId="3" builtinId="3"/>
    <cellStyle name="Currency" xfId="5" builtinId="4"/>
    <cellStyle name="Normal" xfId="0" builtinId="0"/>
    <cellStyle name="Normal 2 2" xfId="2" xr:uid="{00000000-0005-0000-0000-000003000000}"/>
    <cellStyle name="Normal 2 3" xfId="1" xr:uid="{00000000-0005-0000-0000-000004000000}"/>
    <cellStyle name="Percent" xfId="4" builtinId="5"/>
  </cellStyles>
  <dxfs count="31">
    <dxf>
      <font>
        <color theme="0" tint="-0.24994659260841701"/>
      </font>
      <fill>
        <patternFill>
          <bgColor theme="0" tint="-4.9989318521683403E-2"/>
        </patternFill>
      </fill>
    </dxf>
    <dxf>
      <font>
        <color theme="9" tint="-0.24994659260841701"/>
      </font>
      <fill>
        <patternFill>
          <bgColor theme="9" tint="0.39994506668294322"/>
        </patternFill>
      </fill>
    </dxf>
    <dxf>
      <font>
        <color rgb="FF9C0006"/>
      </font>
      <fill>
        <patternFill>
          <bgColor rgb="FFFFC7CE"/>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9" tint="-0.24994659260841701"/>
      </font>
      <fill>
        <patternFill>
          <bgColor theme="9" tint="0.39994506668294322"/>
        </patternFill>
      </fill>
    </dxf>
    <dxf>
      <font>
        <color rgb="FF9C0006"/>
      </font>
      <fill>
        <patternFill>
          <bgColor rgb="FFFFC7CE"/>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9" tint="-0.24994659260841701"/>
      </font>
      <fill>
        <patternFill>
          <bgColor theme="9" tint="0.39994506668294322"/>
        </patternFill>
      </fill>
    </dxf>
    <dxf>
      <font>
        <color rgb="FF9C0006"/>
      </font>
      <fill>
        <patternFill>
          <bgColor rgb="FFFFC7CE"/>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38100</xdr:rowOff>
    </xdr:from>
    <xdr:to>
      <xdr:col>11</xdr:col>
      <xdr:colOff>13854</xdr:colOff>
      <xdr:row>7</xdr:row>
      <xdr:rowOff>0</xdr:rowOff>
    </xdr:to>
    <xdr:sp macro="" textlink="">
      <xdr:nvSpPr>
        <xdr:cNvPr id="2" name="TextBox 1">
          <a:extLst>
            <a:ext uri="{FF2B5EF4-FFF2-40B4-BE49-F238E27FC236}">
              <a16:creationId xmlns:a16="http://schemas.microsoft.com/office/drawing/2014/main" id="{FABE2157-AA16-46C9-B55D-A90D89AD7AC1}"/>
            </a:ext>
          </a:extLst>
        </xdr:cNvPr>
        <xdr:cNvSpPr txBox="1"/>
      </xdr:nvSpPr>
      <xdr:spPr>
        <a:xfrm>
          <a:off x="4274820" y="609600"/>
          <a:ext cx="6917574" cy="80772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u="none">
              <a:latin typeface="Franklin Gothic Book" panose="020B0503020102020204" pitchFamily="34" charset="0"/>
              <a:cs typeface="Arial" panose="020B0604020202020204" pitchFamily="34" charset="0"/>
            </a:rPr>
            <a:t>STEP 1</a:t>
          </a:r>
          <a:r>
            <a:rPr lang="en-US" sz="1000" i="1" u="none" baseline="0">
              <a:latin typeface="Franklin Gothic Book" panose="020B0503020102020204" pitchFamily="34" charset="0"/>
              <a:cs typeface="Arial" panose="020B0604020202020204" pitchFamily="34" charset="0"/>
            </a:rPr>
            <a:t>: </a:t>
          </a:r>
          <a:r>
            <a:rPr lang="en-US" sz="1000" i="1" baseline="0">
              <a:latin typeface="Franklin Gothic Book" panose="020B0503020102020204" pitchFamily="34" charset="0"/>
              <a:cs typeface="Arial" panose="020B0604020202020204" pitchFamily="34" charset="0"/>
            </a:rPr>
            <a:t>Enter the number of net new units in the proposed development project below. The calculator will apply the appropriate inclusionary policy for that project and display the available options for compliance, which will include an onsite unit requirement by income group and any applicable in-lieu fees. In this step, no rounding is performed. Therefore, the calculated units by income group may include fractional units.</a:t>
          </a:r>
        </a:p>
      </xdr:txBody>
    </xdr:sp>
    <xdr:clientData/>
  </xdr:twoCellAnchor>
  <xdr:twoCellAnchor>
    <xdr:from>
      <xdr:col>5</xdr:col>
      <xdr:colOff>45720</xdr:colOff>
      <xdr:row>15</xdr:row>
      <xdr:rowOff>7620</xdr:rowOff>
    </xdr:from>
    <xdr:to>
      <xdr:col>11</xdr:col>
      <xdr:colOff>7620</xdr:colOff>
      <xdr:row>24</xdr:row>
      <xdr:rowOff>0</xdr:rowOff>
    </xdr:to>
    <xdr:sp macro="" textlink="">
      <xdr:nvSpPr>
        <xdr:cNvPr id="3" name="TextBox 2">
          <a:extLst>
            <a:ext uri="{FF2B5EF4-FFF2-40B4-BE49-F238E27FC236}">
              <a16:creationId xmlns:a16="http://schemas.microsoft.com/office/drawing/2014/main" id="{799D60A4-8724-4BBD-B75C-A653C4D69693}"/>
            </a:ext>
          </a:extLst>
        </xdr:cNvPr>
        <xdr:cNvSpPr txBox="1"/>
      </xdr:nvSpPr>
      <xdr:spPr>
        <a:xfrm>
          <a:off x="4320540" y="2956560"/>
          <a:ext cx="6865620" cy="170688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STEP 2</a:t>
          </a:r>
          <a:r>
            <a:rPr lang="en-US" sz="1000" i="1" baseline="0">
              <a:latin typeface="Franklin Gothic Book" panose="020B0503020102020204" pitchFamily="34" charset="0"/>
              <a:cs typeface="Arial" panose="020B0604020202020204" pitchFamily="34" charset="0"/>
            </a:rPr>
            <a:t>: Using the table of calculated units by income group as a guide, re-enter the units requirement for the income groups into the worksheet using whole numbers. In this step, refer to the jurisdiction's rules and guidelines for rounding any fractional units. </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Enter these values for each available option that appears in the worksheet. The available options are indicated by dark green headings and may include up to six variations for Options 1 and 2 and sub-options A, B, and C.</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It is a good idea to clear the values from any cells that do not apply to one of the options.</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In the status row, a cell will say "Complete" when the total whole units entered equals the total units required for that option.</a:t>
          </a:r>
        </a:p>
        <a:p>
          <a:endParaRPr lang="en-US" sz="1000" i="1" baseline="0">
            <a:latin typeface="Franklin Gothic Book" panose="020B0503020102020204" pitchFamily="34" charset="0"/>
            <a:cs typeface="Arial" panose="020B0604020202020204" pitchFamily="34" charset="0"/>
          </a:endParaRPr>
        </a:p>
        <a:p>
          <a:endParaRPr lang="en-US" sz="1000" i="1" baseline="0">
            <a:latin typeface="Franklin Gothic Book" panose="020B0503020102020204" pitchFamily="34" charset="0"/>
            <a:cs typeface="Arial" panose="020B0604020202020204" pitchFamily="34" charset="0"/>
          </a:endParaRPr>
        </a:p>
      </xdr:txBody>
    </xdr:sp>
    <xdr:clientData/>
  </xdr:twoCellAnchor>
  <xdr:twoCellAnchor>
    <xdr:from>
      <xdr:col>11</xdr:col>
      <xdr:colOff>60960</xdr:colOff>
      <xdr:row>28</xdr:row>
      <xdr:rowOff>0</xdr:rowOff>
    </xdr:from>
    <xdr:to>
      <xdr:col>31</xdr:col>
      <xdr:colOff>152400</xdr:colOff>
      <xdr:row>36</xdr:row>
      <xdr:rowOff>53340</xdr:rowOff>
    </xdr:to>
    <xdr:sp macro="" textlink="">
      <xdr:nvSpPr>
        <xdr:cNvPr id="4" name="TextBox 3">
          <a:extLst>
            <a:ext uri="{FF2B5EF4-FFF2-40B4-BE49-F238E27FC236}">
              <a16:creationId xmlns:a16="http://schemas.microsoft.com/office/drawing/2014/main" id="{9313D557-E636-4ABC-AD4F-6648E7124E27}"/>
            </a:ext>
          </a:extLst>
        </xdr:cNvPr>
        <xdr:cNvSpPr txBox="1"/>
      </xdr:nvSpPr>
      <xdr:spPr>
        <a:xfrm>
          <a:off x="11239500" y="5654040"/>
          <a:ext cx="4465320" cy="151638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INSTRUCTIONS FOR STATE DENSITY BONUS PROJECTS</a:t>
          </a:r>
          <a:r>
            <a:rPr lang="en-US" sz="1000" i="1" baseline="0">
              <a:latin typeface="Franklin Gothic Book" panose="020B0503020102020204" pitchFamily="34" charset="0"/>
              <a:cs typeface="Arial" panose="020B0604020202020204" pitchFamily="34" charset="0"/>
            </a:rPr>
            <a:t>. </a:t>
          </a:r>
        </a:p>
        <a:p>
          <a:r>
            <a:rPr lang="en-US" sz="1000" i="1" baseline="0">
              <a:latin typeface="Franklin Gothic Book" panose="020B0503020102020204" pitchFamily="34" charset="0"/>
              <a:cs typeface="Arial" panose="020B0604020202020204" pitchFamily="34" charset="0"/>
            </a:rPr>
            <a:t>Proposals that are seeking bonus density through the State density bonus law may include affordable units </a:t>
          </a:r>
          <a:r>
            <a:rPr lang="en-US" sz="1000" b="1" i="1" baseline="0">
              <a:latin typeface="Franklin Gothic Book" panose="020B0503020102020204" pitchFamily="34" charset="0"/>
              <a:cs typeface="Arial" panose="020B0604020202020204" pitchFamily="34" charset="0"/>
            </a:rPr>
            <a:t>in excess of and/or at a lower income level </a:t>
          </a:r>
          <a:r>
            <a:rPr lang="en-US" sz="1000" i="1" baseline="0">
              <a:latin typeface="Franklin Gothic Book" panose="020B0503020102020204" pitchFamily="34" charset="0"/>
              <a:cs typeface="Arial" panose="020B0604020202020204" pitchFamily="34" charset="0"/>
            </a:rPr>
            <a:t>than what is otherwise required in the local inclusionary ordinance, in order to satisfy the requirements of the state law. In these cases, the worksheet should reflect only those units that will satisfy the inclusionary ordinance. That will </a:t>
          </a:r>
          <a:r>
            <a:rPr lang="en-US" sz="1000" b="1" i="1" baseline="0">
              <a:latin typeface="Franklin Gothic Book" panose="020B0503020102020204" pitchFamily="34" charset="0"/>
              <a:cs typeface="Arial" panose="020B0604020202020204" pitchFamily="34" charset="0"/>
            </a:rPr>
            <a:t>include any affordable units offered at a lower income level </a:t>
          </a:r>
          <a:r>
            <a:rPr lang="en-US" sz="1000" i="1" baseline="0">
              <a:latin typeface="Franklin Gothic Book" panose="020B0503020102020204" pitchFamily="34" charset="0"/>
              <a:cs typeface="Arial" panose="020B0604020202020204" pitchFamily="34" charset="0"/>
            </a:rPr>
            <a:t>than required by the local ordinance but will </a:t>
          </a:r>
          <a:r>
            <a:rPr lang="en-US" sz="1000" b="1" i="1" baseline="0">
              <a:latin typeface="Franklin Gothic Book" panose="020B0503020102020204" pitchFamily="34" charset="0"/>
              <a:cs typeface="Arial" panose="020B0604020202020204" pitchFamily="34" charset="0"/>
            </a:rPr>
            <a:t>exclude any excess units </a:t>
          </a:r>
          <a:r>
            <a:rPr lang="en-US" sz="1000" i="1" baseline="0">
              <a:latin typeface="Franklin Gothic Book" panose="020B0503020102020204" pitchFamily="34" charset="0"/>
              <a:cs typeface="Arial" panose="020B0604020202020204" pitchFamily="34" charset="0"/>
            </a:rPr>
            <a:t>needed to satisfy the state law.</a:t>
          </a:r>
        </a:p>
        <a:p>
          <a:endParaRPr lang="en-US" sz="1000" i="1" baseline="0">
            <a:latin typeface="Franklin Gothic Book" panose="020B0503020102020204" pitchFamily="34" charset="0"/>
            <a:cs typeface="Arial" panose="020B0604020202020204" pitchFamily="34" charset="0"/>
          </a:endParaRPr>
        </a:p>
      </xdr:txBody>
    </xdr:sp>
    <xdr:clientData/>
  </xdr:twoCellAnchor>
  <xdr:twoCellAnchor>
    <xdr:from>
      <xdr:col>11</xdr:col>
      <xdr:colOff>76200</xdr:colOff>
      <xdr:row>40</xdr:row>
      <xdr:rowOff>104775</xdr:rowOff>
    </xdr:from>
    <xdr:to>
      <xdr:col>31</xdr:col>
      <xdr:colOff>190500</xdr:colOff>
      <xdr:row>44</xdr:row>
      <xdr:rowOff>9525</xdr:rowOff>
    </xdr:to>
    <xdr:sp macro="" textlink="">
      <xdr:nvSpPr>
        <xdr:cNvPr id="5" name="TextBox 4">
          <a:extLst>
            <a:ext uri="{FF2B5EF4-FFF2-40B4-BE49-F238E27FC236}">
              <a16:creationId xmlns:a16="http://schemas.microsoft.com/office/drawing/2014/main" id="{FB27ADE4-7D90-455B-B8D5-47754DAD25CA}"/>
            </a:ext>
          </a:extLst>
        </xdr:cNvPr>
        <xdr:cNvSpPr txBox="1"/>
      </xdr:nvSpPr>
      <xdr:spPr>
        <a:xfrm>
          <a:off x="10925175" y="8067675"/>
          <a:ext cx="4381500" cy="59055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STEP 3: </a:t>
          </a:r>
          <a:r>
            <a:rPr lang="en-US" sz="1000" b="0" i="1" baseline="0">
              <a:latin typeface="Franklin Gothic Book" panose="020B0503020102020204" pitchFamily="34" charset="0"/>
              <a:cs typeface="Arial" panose="020B0604020202020204" pitchFamily="34" charset="0"/>
            </a:rPr>
            <a:t>Add any pertinent notes. (E.g., "Unit counts were rounded based on published guidelines", "Reflects 5 low income units to qualify for density bonus", etc.) </a:t>
          </a:r>
          <a:endParaRPr lang="en-US" sz="1000" i="1" baseline="0">
            <a:latin typeface="Franklin Gothic Book" panose="020B0503020102020204" pitchFamily="34" charset="0"/>
            <a:cs typeface="Arial" panose="020B0604020202020204" pitchFamily="34" charset="0"/>
          </a:endParaRPr>
        </a:p>
        <a:p>
          <a:endParaRPr lang="en-US" sz="1000" i="1" baseline="0">
            <a:latin typeface="Franklin Gothic Book" panose="020B05030201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45720</xdr:colOff>
      <xdr:row>15</xdr:row>
      <xdr:rowOff>7620</xdr:rowOff>
    </xdr:from>
    <xdr:to>
      <xdr:col>11</xdr:col>
      <xdr:colOff>7620</xdr:colOff>
      <xdr:row>24</xdr:row>
      <xdr:rowOff>0</xdr:rowOff>
    </xdr:to>
    <xdr:sp macro="" textlink="">
      <xdr:nvSpPr>
        <xdr:cNvPr id="3" name="TextBox 2">
          <a:extLst>
            <a:ext uri="{FF2B5EF4-FFF2-40B4-BE49-F238E27FC236}">
              <a16:creationId xmlns:a16="http://schemas.microsoft.com/office/drawing/2014/main" id="{DB9AC625-4687-4DB3-AB20-A3D45D4B64D6}"/>
            </a:ext>
          </a:extLst>
        </xdr:cNvPr>
        <xdr:cNvSpPr txBox="1"/>
      </xdr:nvSpPr>
      <xdr:spPr>
        <a:xfrm>
          <a:off x="4320540" y="2865120"/>
          <a:ext cx="6637020" cy="170688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STEP 2</a:t>
          </a:r>
          <a:r>
            <a:rPr lang="en-US" sz="1000" i="1" baseline="0">
              <a:latin typeface="Franklin Gothic Book" panose="020B0503020102020204" pitchFamily="34" charset="0"/>
              <a:cs typeface="Arial" panose="020B0604020202020204" pitchFamily="34" charset="0"/>
            </a:rPr>
            <a:t>: Using the table of calculated units by income group as a guide, re-enter the units requirement for the income groups into the worksheet using whole numbers, rounding up or down as appropriate. In this step, refer to the jurisdiction's rules and guidelines for rounding any fractional units. </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Enter these values for each available option that appears in the worksheet. The available options are indicated by dark green headings and may include up to six variations for Options 1 and 2 and sub-options A, B, and C.</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It is a good idea to clear the values from any cells that do not apply to one of the options.</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In the status row, a cell will say "Complete" when the total whole units entered equals the total units required for that option. </a:t>
          </a:r>
        </a:p>
      </xdr:txBody>
    </xdr:sp>
    <xdr:clientData/>
  </xdr:twoCellAnchor>
  <xdr:twoCellAnchor>
    <xdr:from>
      <xdr:col>4</xdr:col>
      <xdr:colOff>678872</xdr:colOff>
      <xdr:row>2</xdr:row>
      <xdr:rowOff>41563</xdr:rowOff>
    </xdr:from>
    <xdr:to>
      <xdr:col>11</xdr:col>
      <xdr:colOff>13854</xdr:colOff>
      <xdr:row>7</xdr:row>
      <xdr:rowOff>76200</xdr:rowOff>
    </xdr:to>
    <xdr:sp macro="" textlink="">
      <xdr:nvSpPr>
        <xdr:cNvPr id="4" name="TextBox 3">
          <a:extLst>
            <a:ext uri="{FF2B5EF4-FFF2-40B4-BE49-F238E27FC236}">
              <a16:creationId xmlns:a16="http://schemas.microsoft.com/office/drawing/2014/main" id="{ED03DEEA-9636-4773-8DF3-7E0B2209A032}"/>
            </a:ext>
          </a:extLst>
        </xdr:cNvPr>
        <xdr:cNvSpPr txBox="1"/>
      </xdr:nvSpPr>
      <xdr:spPr>
        <a:xfrm>
          <a:off x="4488872" y="414943"/>
          <a:ext cx="6711142" cy="926177"/>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u="none">
              <a:latin typeface="Franklin Gothic Book" panose="020B0503020102020204" pitchFamily="34" charset="0"/>
              <a:cs typeface="Arial" panose="020B0604020202020204" pitchFamily="34" charset="0"/>
            </a:rPr>
            <a:t>STEP 1</a:t>
          </a:r>
          <a:r>
            <a:rPr lang="en-US" sz="1000" i="1" u="none" baseline="0">
              <a:latin typeface="Franklin Gothic Book" panose="020B0503020102020204" pitchFamily="34" charset="0"/>
              <a:cs typeface="Arial" panose="020B0604020202020204" pitchFamily="34" charset="0"/>
            </a:rPr>
            <a:t>: Enter the number of net new units in the proposed development project below. Then, specify whether the proposed development project is a Single Unit Detached or Condominium project. </a:t>
          </a:r>
          <a:r>
            <a:rPr lang="en-US" sz="1000" i="1" baseline="0">
              <a:latin typeface="Franklin Gothic Book" panose="020B0503020102020204" pitchFamily="34" charset="0"/>
              <a:cs typeface="Arial" panose="020B0604020202020204" pitchFamily="34" charset="0"/>
            </a:rPr>
            <a:t>The calculator will apply the appropriate inclusionary policy for that project and display the available options for compliance, which will include an onsite unit requirement by income group and any applicable in-lieu fees. In this step, no rounding is performed. Therefore, the calculated units by income group may include fractional units.</a:t>
          </a:r>
        </a:p>
      </xdr:txBody>
    </xdr:sp>
    <xdr:clientData/>
  </xdr:twoCellAnchor>
  <xdr:twoCellAnchor>
    <xdr:from>
      <xdr:col>11</xdr:col>
      <xdr:colOff>76200</xdr:colOff>
      <xdr:row>28</xdr:row>
      <xdr:rowOff>7620</xdr:rowOff>
    </xdr:from>
    <xdr:to>
      <xdr:col>31</xdr:col>
      <xdr:colOff>167640</xdr:colOff>
      <xdr:row>36</xdr:row>
      <xdr:rowOff>60960</xdr:rowOff>
    </xdr:to>
    <xdr:sp macro="" textlink="">
      <xdr:nvSpPr>
        <xdr:cNvPr id="2" name="TextBox 1">
          <a:extLst>
            <a:ext uri="{FF2B5EF4-FFF2-40B4-BE49-F238E27FC236}">
              <a16:creationId xmlns:a16="http://schemas.microsoft.com/office/drawing/2014/main" id="{7EDAC0DC-E852-460C-990A-9369F4C18D82}"/>
            </a:ext>
          </a:extLst>
        </xdr:cNvPr>
        <xdr:cNvSpPr txBox="1"/>
      </xdr:nvSpPr>
      <xdr:spPr>
        <a:xfrm>
          <a:off x="11254740" y="5646420"/>
          <a:ext cx="4465320" cy="151638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INSTRUCTIONS FOR STATE DENSITY BONUS PROJECTS</a:t>
          </a:r>
          <a:r>
            <a:rPr lang="en-US" sz="1000" i="1" baseline="0">
              <a:latin typeface="Franklin Gothic Book" panose="020B0503020102020204" pitchFamily="34" charset="0"/>
              <a:cs typeface="Arial" panose="020B0604020202020204" pitchFamily="34" charset="0"/>
            </a:rPr>
            <a:t>. </a:t>
          </a:r>
        </a:p>
        <a:p>
          <a:r>
            <a:rPr lang="en-US" sz="1000" i="1" baseline="0">
              <a:latin typeface="Franklin Gothic Book" panose="020B0503020102020204" pitchFamily="34" charset="0"/>
              <a:cs typeface="Arial" panose="020B0604020202020204" pitchFamily="34" charset="0"/>
            </a:rPr>
            <a:t>Proposals that are seeking bonus density through the State density bonus law may include affordable units </a:t>
          </a:r>
          <a:r>
            <a:rPr lang="en-US" sz="1000" b="1" i="1" baseline="0">
              <a:latin typeface="Franklin Gothic Book" panose="020B0503020102020204" pitchFamily="34" charset="0"/>
              <a:cs typeface="Arial" panose="020B0604020202020204" pitchFamily="34" charset="0"/>
            </a:rPr>
            <a:t>in excess of and/or at a lower income level </a:t>
          </a:r>
          <a:r>
            <a:rPr lang="en-US" sz="1000" i="1" baseline="0">
              <a:latin typeface="Franklin Gothic Book" panose="020B0503020102020204" pitchFamily="34" charset="0"/>
              <a:cs typeface="Arial" panose="020B0604020202020204" pitchFamily="34" charset="0"/>
            </a:rPr>
            <a:t>than what is otherwise required in the local inclusionary ordinance, in order to satisfy the requirements of the state law. In these cases, the worksheet should reflect only those units that will satisfy the inclusionary ordinance. That will </a:t>
          </a:r>
          <a:r>
            <a:rPr lang="en-US" sz="1000" b="1" i="1" baseline="0">
              <a:latin typeface="Franklin Gothic Book" panose="020B0503020102020204" pitchFamily="34" charset="0"/>
              <a:cs typeface="Arial" panose="020B0604020202020204" pitchFamily="34" charset="0"/>
            </a:rPr>
            <a:t>include any affordable units offered at a lower income level </a:t>
          </a:r>
          <a:r>
            <a:rPr lang="en-US" sz="1000" i="1" baseline="0">
              <a:latin typeface="Franklin Gothic Book" panose="020B0503020102020204" pitchFamily="34" charset="0"/>
              <a:cs typeface="Arial" panose="020B0604020202020204" pitchFamily="34" charset="0"/>
            </a:rPr>
            <a:t>than required by the local ordinance but will </a:t>
          </a:r>
          <a:r>
            <a:rPr lang="en-US" sz="1000" b="1" i="1" baseline="0">
              <a:latin typeface="Franklin Gothic Book" panose="020B0503020102020204" pitchFamily="34" charset="0"/>
              <a:cs typeface="Arial" panose="020B0604020202020204" pitchFamily="34" charset="0"/>
            </a:rPr>
            <a:t>exclude any excess units </a:t>
          </a:r>
          <a:r>
            <a:rPr lang="en-US" sz="1000" i="1" baseline="0">
              <a:latin typeface="Franklin Gothic Book" panose="020B0503020102020204" pitchFamily="34" charset="0"/>
              <a:cs typeface="Arial" panose="020B0604020202020204" pitchFamily="34" charset="0"/>
            </a:rPr>
            <a:t>needed to satisfy the state law.</a:t>
          </a:r>
        </a:p>
        <a:p>
          <a:endParaRPr lang="en-US" sz="1000" i="1" baseline="0">
            <a:latin typeface="Franklin Gothic Book" panose="020B0503020102020204" pitchFamily="34" charset="0"/>
            <a:cs typeface="Arial" panose="020B0604020202020204" pitchFamily="34" charset="0"/>
          </a:endParaRPr>
        </a:p>
      </xdr:txBody>
    </xdr:sp>
    <xdr:clientData/>
  </xdr:twoCellAnchor>
  <xdr:twoCellAnchor>
    <xdr:from>
      <xdr:col>11</xdr:col>
      <xdr:colOff>63501</xdr:colOff>
      <xdr:row>40</xdr:row>
      <xdr:rowOff>105833</xdr:rowOff>
    </xdr:from>
    <xdr:to>
      <xdr:col>31</xdr:col>
      <xdr:colOff>148167</xdr:colOff>
      <xdr:row>44</xdr:row>
      <xdr:rowOff>19050</xdr:rowOff>
    </xdr:to>
    <xdr:sp macro="" textlink="">
      <xdr:nvSpPr>
        <xdr:cNvPr id="5" name="TextBox 4">
          <a:extLst>
            <a:ext uri="{FF2B5EF4-FFF2-40B4-BE49-F238E27FC236}">
              <a16:creationId xmlns:a16="http://schemas.microsoft.com/office/drawing/2014/main" id="{8ECE71B7-DC0F-4588-BA3C-EC94F2D2A06C}"/>
            </a:ext>
          </a:extLst>
        </xdr:cNvPr>
        <xdr:cNvSpPr txBox="1"/>
      </xdr:nvSpPr>
      <xdr:spPr>
        <a:xfrm>
          <a:off x="10900834" y="8043333"/>
          <a:ext cx="4381500" cy="59055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STEP 3: </a:t>
          </a:r>
          <a:r>
            <a:rPr lang="en-US" sz="1000" b="0" i="1" baseline="0">
              <a:latin typeface="Franklin Gothic Book" panose="020B0503020102020204" pitchFamily="34" charset="0"/>
              <a:cs typeface="Arial" panose="020B0604020202020204" pitchFamily="34" charset="0"/>
            </a:rPr>
            <a:t>Add any pertinent notes. (E.g., "Unit counts were rounded based on published guidelines", "Reflects 5 low income units to qualify for density bonus", etc.) </a:t>
          </a:r>
          <a:endParaRPr lang="en-US" sz="1000" i="1" baseline="0">
            <a:latin typeface="Franklin Gothic Book" panose="020B0503020102020204" pitchFamily="34" charset="0"/>
            <a:cs typeface="Arial" panose="020B0604020202020204" pitchFamily="34" charset="0"/>
          </a:endParaRPr>
        </a:p>
        <a:p>
          <a:endParaRPr lang="en-US" sz="1000" i="1" baseline="0">
            <a:latin typeface="Franklin Gothic Book" panose="020B05030201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62346</xdr:rowOff>
    </xdr:from>
    <xdr:to>
      <xdr:col>1</xdr:col>
      <xdr:colOff>2161309</xdr:colOff>
      <xdr:row>36</xdr:row>
      <xdr:rowOff>166255</xdr:rowOff>
    </xdr:to>
    <xdr:sp macro="" textlink="">
      <xdr:nvSpPr>
        <xdr:cNvPr id="3" name="TextBox 2">
          <a:extLst>
            <a:ext uri="{FF2B5EF4-FFF2-40B4-BE49-F238E27FC236}">
              <a16:creationId xmlns:a16="http://schemas.microsoft.com/office/drawing/2014/main" id="{ADEE8549-B7F6-43A7-9606-F9A5E7D42F9F}"/>
            </a:ext>
          </a:extLst>
        </xdr:cNvPr>
        <xdr:cNvSpPr txBox="1"/>
      </xdr:nvSpPr>
      <xdr:spPr>
        <a:xfrm>
          <a:off x="180109" y="4440382"/>
          <a:ext cx="2161309" cy="2382982"/>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baseline="0">
              <a:latin typeface="Franklin Gothic Book" panose="020B0503020102020204" pitchFamily="34" charset="0"/>
              <a:cs typeface="Arial" panose="020B0604020202020204" pitchFamily="34" charset="0"/>
            </a:rPr>
            <a:t>STEP 2</a:t>
          </a:r>
          <a:r>
            <a:rPr lang="en-US" sz="1000" i="1" baseline="0">
              <a:latin typeface="Franklin Gothic Book" panose="020B0503020102020204" pitchFamily="34" charset="0"/>
              <a:cs typeface="Arial" panose="020B0604020202020204" pitchFamily="34" charset="0"/>
            </a:rPr>
            <a:t>: Referring to the table of calculated units by income group, re-enter the units requirement for the income groups into the worksheet using whole numbers, rounding up or down as appropriate.</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It is a good idea to clear the values from any cells that do not apply to one of the options.</a:t>
          </a:r>
        </a:p>
        <a:p>
          <a:endParaRPr lang="en-US" sz="1000" i="1" baseline="0">
            <a:latin typeface="Franklin Gothic Book" panose="020B0503020102020204" pitchFamily="34" charset="0"/>
            <a:cs typeface="Arial" panose="020B0604020202020204" pitchFamily="34" charset="0"/>
          </a:endParaRPr>
        </a:p>
        <a:p>
          <a:r>
            <a:rPr lang="en-US" sz="1000" i="1" baseline="0">
              <a:latin typeface="Franklin Gothic Book" panose="020B0503020102020204" pitchFamily="34" charset="0"/>
              <a:cs typeface="Arial" panose="020B0604020202020204" pitchFamily="34" charset="0"/>
            </a:rPr>
            <a:t>In the status row, a cell will say "Complete" when the total whole units entered equals the total units required for that option.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1492250</xdr:colOff>
      <xdr:row>16</xdr:row>
      <xdr:rowOff>68580</xdr:rowOff>
    </xdr:to>
    <xdr:sp macro="" textlink="">
      <xdr:nvSpPr>
        <xdr:cNvPr id="2" name="TextBox 1">
          <a:extLst>
            <a:ext uri="{FF2B5EF4-FFF2-40B4-BE49-F238E27FC236}">
              <a16:creationId xmlns:a16="http://schemas.microsoft.com/office/drawing/2014/main" id="{5711B067-8F33-483D-A9F8-864A1942A0AA}"/>
            </a:ext>
          </a:extLst>
        </xdr:cNvPr>
        <xdr:cNvSpPr txBox="1"/>
      </xdr:nvSpPr>
      <xdr:spPr>
        <a:xfrm>
          <a:off x="182880" y="1920240"/>
          <a:ext cx="7313930" cy="1211580"/>
        </a:xfrm>
        <a:prstGeom prst="rect">
          <a:avLst/>
        </a:prstGeom>
        <a:solidFill>
          <a:schemeClr val="accent4">
            <a:lumMod val="20000"/>
            <a:lumOff val="80000"/>
          </a:schemeClr>
        </a:solidFill>
        <a:ln w="15875" cmpd="sng">
          <a:solidFill>
            <a:schemeClr val="accent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i="1" u="none" baseline="0">
              <a:latin typeface="Franklin Gothic Book" panose="020B0503020102020204" pitchFamily="34" charset="0"/>
              <a:cs typeface="Arial" panose="020B0604020202020204" pitchFamily="34" charset="0"/>
            </a:rPr>
            <a:t>ANNUAL FEE UPDATES</a:t>
          </a:r>
          <a:r>
            <a:rPr lang="en-US" sz="1000" b="0" i="1" u="none" baseline="0">
              <a:latin typeface="Franklin Gothic Book" panose="020B0503020102020204" pitchFamily="34" charset="0"/>
              <a:cs typeface="Arial" panose="020B0604020202020204" pitchFamily="34" charset="0"/>
            </a:rPr>
            <a:t>: The table above contains the overall inclusionary requirement for each jurisdiction. The in-lieu fee amounts in each jurisdiction are generally updated annually.</a:t>
          </a:r>
        </a:p>
        <a:p>
          <a:endParaRPr lang="en-US" sz="1000" b="0" i="1" u="none" baseline="0">
            <a:latin typeface="Franklin Gothic Book" panose="020B0503020102020204" pitchFamily="34" charset="0"/>
            <a:cs typeface="Arial" panose="020B0604020202020204" pitchFamily="34" charset="0"/>
          </a:endParaRPr>
        </a:p>
        <a:p>
          <a:r>
            <a:rPr lang="en-US" sz="1000" b="0" i="1" u="none" baseline="0">
              <a:latin typeface="Franklin Gothic Book" panose="020B0503020102020204" pitchFamily="34" charset="0"/>
              <a:cs typeface="Arial" panose="020B0604020202020204" pitchFamily="34" charset="0"/>
            </a:rPr>
            <a:t>As these fee amounts are updated, they should be entered in the appropriate green cells above.</a:t>
          </a:r>
        </a:p>
        <a:p>
          <a:endParaRPr lang="en-US" sz="1000" b="0" i="1" u="none" baseline="0">
            <a:latin typeface="Franklin Gothic Book" panose="020B0503020102020204" pitchFamily="34" charset="0"/>
            <a:cs typeface="Arial" panose="020B0604020202020204" pitchFamily="34" charset="0"/>
          </a:endParaRPr>
        </a:p>
        <a:p>
          <a:r>
            <a:rPr lang="en-US" sz="1000" b="0" i="1" baseline="0">
              <a:latin typeface="Franklin Gothic Book" panose="020B0503020102020204" pitchFamily="34" charset="0"/>
              <a:cs typeface="Arial" panose="020B0604020202020204" pitchFamily="34" charset="0"/>
            </a:rPr>
            <a:t>If the inclusionary policy is modified such that the minimum number of units or percentage set-asides need to be changed, please contact Marin County Community Development Department for further assistance.</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E\dfs\SE\Volumes\dfs-1\Strategic\Current%20Projects\1212b%20Morgan%20Hill%20Industrial%20Land%20Study\Deliverables\SE\Strategic\Current%20Projects\1401%20-%20San%20Mateo%20County%20Nexus\Analysis\Affordability%20Gap\Affordability%20Gap%20Calculation_20150429.xlsx?D49C6DFB" TargetMode="External"/><Relationship Id="rId1" Type="http://schemas.openxmlformats.org/officeDocument/2006/relationships/externalLinkPath" Target="file:///\\D49C6DFB\Affordability%20Gap%20Calculation_201504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LendingAssump"/>
      <sheetName val="1.IncomeAssump"/>
      <sheetName val="2.UtilityAssump"/>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H17" sqref="H17"/>
    </sheetView>
  </sheetViews>
  <sheetFormatPr defaultColWidth="9.28515625" defaultRowHeight="13.5" x14ac:dyDescent="0.25"/>
  <cols>
    <col min="1" max="1" width="2.7109375" style="1" customWidth="1"/>
    <col min="2" max="2" width="10.42578125" style="1" bestFit="1" customWidth="1"/>
    <col min="3" max="16384" width="9.28515625" style="1"/>
  </cols>
  <sheetData>
    <row r="1" spans="1:2" ht="15.75" x14ac:dyDescent="0.3">
      <c r="A1" s="2" t="s">
        <v>0</v>
      </c>
      <c r="B1" s="17"/>
    </row>
    <row r="3" spans="1:2" x14ac:dyDescent="0.25">
      <c r="A3" s="17"/>
      <c r="B3" s="223">
        <v>100000000</v>
      </c>
    </row>
    <row r="4" spans="1:2" x14ac:dyDescent="0.25">
      <c r="A4" s="17"/>
      <c r="B4" s="224">
        <v>100000000</v>
      </c>
    </row>
    <row r="5" spans="1:2" x14ac:dyDescent="0.25">
      <c r="A5" s="17"/>
      <c r="B5" s="225">
        <v>13567789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E42"/>
  <sheetViews>
    <sheetView showGridLines="0" zoomScaleNormal="100" workbookViewId="0">
      <selection activeCell="C4" sqref="C4"/>
    </sheetView>
  </sheetViews>
  <sheetFormatPr defaultColWidth="8.7109375" defaultRowHeight="15.75" x14ac:dyDescent="0.3"/>
  <cols>
    <col min="1" max="1" width="2.7109375" style="4" customWidth="1"/>
    <col min="2" max="2" width="36.42578125" style="4" bestFit="1" customWidth="1"/>
    <col min="3" max="5" width="13.7109375" style="4" customWidth="1"/>
    <col min="6" max="16384" width="8.7109375" style="4"/>
  </cols>
  <sheetData>
    <row r="1" spans="1:5" s="5" customFormat="1" ht="12" customHeight="1" x14ac:dyDescent="0.25"/>
    <row r="2" spans="1:5" s="5" customFormat="1" ht="20.25" customHeight="1" thickBot="1" x14ac:dyDescent="0.3">
      <c r="A2" s="9" t="s">
        <v>1</v>
      </c>
      <c r="B2" s="10"/>
      <c r="C2" s="10"/>
      <c r="D2" s="10"/>
      <c r="E2" s="10"/>
    </row>
    <row r="3" spans="1:5" ht="56.65" customHeight="1" x14ac:dyDescent="0.3">
      <c r="B3" s="324" t="s">
        <v>2</v>
      </c>
      <c r="C3" s="324"/>
      <c r="D3" s="324"/>
      <c r="E3" s="324"/>
    </row>
    <row r="5" spans="1:5" ht="56.65" customHeight="1" x14ac:dyDescent="0.3">
      <c r="B5" s="324" t="s">
        <v>3</v>
      </c>
      <c r="C5" s="324"/>
      <c r="D5" s="324"/>
      <c r="E5" s="324"/>
    </row>
    <row r="8" spans="1:5" x14ac:dyDescent="0.3">
      <c r="A8" s="11"/>
      <c r="B8" s="12" t="s">
        <v>4</v>
      </c>
    </row>
    <row r="9" spans="1:5" x14ac:dyDescent="0.3">
      <c r="A9" s="13"/>
    </row>
    <row r="10" spans="1:5" x14ac:dyDescent="0.3">
      <c r="A10" s="21">
        <v>1</v>
      </c>
      <c r="B10" s="22" t="s">
        <v>5</v>
      </c>
      <c r="C10" s="23"/>
      <c r="D10" s="23"/>
      <c r="E10" s="23"/>
    </row>
    <row r="11" spans="1:5" ht="72.599999999999994" customHeight="1" x14ac:dyDescent="0.3">
      <c r="A11" s="14"/>
      <c r="B11" s="325" t="s">
        <v>6</v>
      </c>
      <c r="C11" s="325"/>
      <c r="D11" s="325"/>
      <c r="E11" s="325"/>
    </row>
    <row r="12" spans="1:5" x14ac:dyDescent="0.3">
      <c r="A12" s="13"/>
    </row>
    <row r="13" spans="1:5" x14ac:dyDescent="0.3">
      <c r="A13" s="21">
        <v>2</v>
      </c>
      <c r="B13" s="23" t="s">
        <v>7</v>
      </c>
      <c r="C13" s="23"/>
      <c r="D13" s="23"/>
      <c r="E13" s="23"/>
    </row>
    <row r="14" spans="1:5" ht="28.15" customHeight="1" x14ac:dyDescent="0.3">
      <c r="A14" s="14"/>
      <c r="B14" s="325" t="s">
        <v>8</v>
      </c>
      <c r="C14" s="325"/>
      <c r="D14" s="325"/>
      <c r="E14" s="325"/>
    </row>
    <row r="15" spans="1:5" ht="28.15" customHeight="1" x14ac:dyDescent="0.3">
      <c r="A15" s="14"/>
      <c r="B15" s="18"/>
      <c r="C15" s="18"/>
      <c r="D15" s="18"/>
      <c r="E15" s="18"/>
    </row>
    <row r="16" spans="1:5" x14ac:dyDescent="0.3">
      <c r="A16" s="21">
        <v>3</v>
      </c>
      <c r="B16" s="24" t="s">
        <v>9</v>
      </c>
      <c r="C16" s="24"/>
      <c r="D16" s="24"/>
      <c r="E16" s="24"/>
    </row>
    <row r="17" spans="1:5" s="15" customFormat="1" ht="86.65" customHeight="1" x14ac:dyDescent="0.25">
      <c r="B17" s="325" t="s">
        <v>10</v>
      </c>
      <c r="C17" s="325"/>
      <c r="D17" s="325"/>
      <c r="E17" s="325"/>
    </row>
    <row r="18" spans="1:5" ht="12" customHeight="1" x14ac:dyDescent="0.3">
      <c r="B18" s="16"/>
      <c r="C18" s="16"/>
      <c r="D18" s="16"/>
      <c r="E18" s="16"/>
    </row>
    <row r="19" spans="1:5" x14ac:dyDescent="0.3">
      <c r="A19" s="13"/>
    </row>
    <row r="20" spans="1:5" x14ac:dyDescent="0.3">
      <c r="A20" s="21">
        <v>4</v>
      </c>
      <c r="B20" s="24" t="s">
        <v>11</v>
      </c>
      <c r="C20" s="24"/>
      <c r="D20" s="24"/>
      <c r="E20" s="24"/>
    </row>
    <row r="21" spans="1:5" ht="42.4" customHeight="1" x14ac:dyDescent="0.3">
      <c r="A21" s="14"/>
      <c r="B21" s="326" t="s">
        <v>12</v>
      </c>
      <c r="C21" s="326"/>
      <c r="D21" s="326"/>
      <c r="E21" s="326"/>
    </row>
    <row r="22" spans="1:5" x14ac:dyDescent="0.3">
      <c r="A22" s="13"/>
    </row>
    <row r="23" spans="1:5" x14ac:dyDescent="0.3">
      <c r="A23" s="21">
        <v>5</v>
      </c>
      <c r="B23" s="25" t="s">
        <v>13</v>
      </c>
      <c r="C23" s="25"/>
      <c r="D23" s="25"/>
      <c r="E23" s="25"/>
    </row>
    <row r="24" spans="1:5" ht="18.600000000000001" customHeight="1" x14ac:dyDescent="0.3">
      <c r="A24" s="14"/>
      <c r="B24" s="326" t="s">
        <v>14</v>
      </c>
      <c r="C24" s="326"/>
      <c r="D24" s="326"/>
      <c r="E24" s="326"/>
    </row>
    <row r="26" spans="1:5" x14ac:dyDescent="0.3">
      <c r="A26" s="21">
        <v>6</v>
      </c>
      <c r="B26" s="25" t="s">
        <v>15</v>
      </c>
      <c r="C26" s="25"/>
      <c r="D26" s="25"/>
      <c r="E26" s="25"/>
    </row>
    <row r="27" spans="1:5" ht="18" customHeight="1" x14ac:dyDescent="0.3">
      <c r="A27" s="14"/>
      <c r="B27" s="326" t="s">
        <v>16</v>
      </c>
      <c r="C27" s="326"/>
      <c r="D27" s="326"/>
      <c r="E27" s="326"/>
    </row>
    <row r="28" spans="1:5" ht="16.149999999999999" customHeight="1" x14ac:dyDescent="0.3">
      <c r="A28" s="14"/>
      <c r="B28" s="19"/>
      <c r="C28" s="19"/>
      <c r="D28" s="19"/>
      <c r="E28" s="19"/>
    </row>
    <row r="29" spans="1:5" x14ac:dyDescent="0.3">
      <c r="A29" s="21">
        <v>7</v>
      </c>
      <c r="B29" s="25" t="s">
        <v>17</v>
      </c>
      <c r="C29" s="25"/>
      <c r="D29" s="25"/>
      <c r="E29" s="25"/>
    </row>
    <row r="30" spans="1:5" ht="33.6" customHeight="1" x14ac:dyDescent="0.3">
      <c r="A30" s="14"/>
      <c r="B30" s="326" t="s">
        <v>18</v>
      </c>
      <c r="C30" s="326"/>
      <c r="D30" s="326"/>
      <c r="E30" s="326"/>
    </row>
    <row r="31" spans="1:5" x14ac:dyDescent="0.3">
      <c r="A31" s="14"/>
      <c r="B31" s="19"/>
      <c r="C31" s="19"/>
      <c r="D31" s="19"/>
      <c r="E31" s="19"/>
    </row>
    <row r="32" spans="1:5" x14ac:dyDescent="0.3">
      <c r="A32" s="21">
        <v>8</v>
      </c>
      <c r="B32" s="25" t="s">
        <v>19</v>
      </c>
      <c r="C32" s="25"/>
      <c r="D32" s="25"/>
      <c r="E32" s="25"/>
    </row>
    <row r="33" spans="1:5" x14ac:dyDescent="0.3">
      <c r="A33" s="14"/>
      <c r="B33" s="326" t="s">
        <v>20</v>
      </c>
      <c r="C33" s="326"/>
      <c r="D33" s="326"/>
      <c r="E33" s="326"/>
    </row>
    <row r="34" spans="1:5" ht="16.149999999999999" customHeight="1" x14ac:dyDescent="0.3">
      <c r="A34" s="14"/>
      <c r="B34" s="19"/>
      <c r="C34" s="19"/>
      <c r="D34" s="19"/>
      <c r="E34" s="19"/>
    </row>
    <row r="35" spans="1:5" ht="15" customHeight="1" x14ac:dyDescent="0.3">
      <c r="A35" s="14"/>
      <c r="B35" s="19"/>
      <c r="C35" s="19"/>
      <c r="D35" s="19"/>
      <c r="E35" s="19"/>
    </row>
    <row r="36" spans="1:5" x14ac:dyDescent="0.3">
      <c r="A36" s="11"/>
      <c r="B36" s="12" t="s">
        <v>21</v>
      </c>
    </row>
    <row r="38" spans="1:5" ht="28.15" customHeight="1" x14ac:dyDescent="0.3">
      <c r="B38" s="330" t="s">
        <v>22</v>
      </c>
      <c r="C38" s="331"/>
      <c r="D38" s="331"/>
      <c r="E38" s="332"/>
    </row>
    <row r="40" spans="1:5" ht="28.15" customHeight="1" x14ac:dyDescent="0.3">
      <c r="B40" s="333" t="s">
        <v>23</v>
      </c>
      <c r="C40" s="334"/>
      <c r="D40" s="334"/>
      <c r="E40" s="335"/>
    </row>
    <row r="42" spans="1:5" ht="28.15" customHeight="1" x14ac:dyDescent="0.3">
      <c r="B42" s="327" t="s">
        <v>24</v>
      </c>
      <c r="C42" s="328"/>
      <c r="D42" s="328"/>
      <c r="E42" s="329"/>
    </row>
  </sheetData>
  <mergeCells count="13">
    <mergeCell ref="B42:E42"/>
    <mergeCell ref="B5:E5"/>
    <mergeCell ref="B17:E17"/>
    <mergeCell ref="B38:E38"/>
    <mergeCell ref="B40:E40"/>
    <mergeCell ref="B27:E27"/>
    <mergeCell ref="B30:E30"/>
    <mergeCell ref="B33:E33"/>
    <mergeCell ref="B3:E3"/>
    <mergeCell ref="B11:E11"/>
    <mergeCell ref="B14:E14"/>
    <mergeCell ref="B21:E21"/>
    <mergeCell ref="B24:E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Z44"/>
  <sheetViews>
    <sheetView showGridLines="0" tabSelected="1" zoomScale="82" zoomScaleNormal="82" zoomScaleSheetLayoutView="80" workbookViewId="0">
      <selection activeCell="I12" sqref="I12:K14"/>
    </sheetView>
  </sheetViews>
  <sheetFormatPr defaultColWidth="9.28515625" defaultRowHeight="13.5" x14ac:dyDescent="0.25"/>
  <cols>
    <col min="1" max="1" width="2.7109375" style="1" customWidth="1"/>
    <col min="2" max="2" width="28.7109375" style="3" customWidth="1"/>
    <col min="3" max="4" width="10.28515625" style="1" customWidth="1"/>
    <col min="5" max="5" width="10.28515625" style="6" customWidth="1"/>
    <col min="6" max="9" width="16.7109375" style="6" customWidth="1"/>
    <col min="10" max="10" width="16.7109375" style="7" customWidth="1"/>
    <col min="11" max="11" width="16.7109375" style="1" customWidth="1"/>
    <col min="12" max="12" width="9.28515625" style="1"/>
    <col min="13" max="13" width="22.7109375" style="1" hidden="1" customWidth="1"/>
    <col min="14" max="24" width="9.28515625" style="1" hidden="1" customWidth="1"/>
    <col min="25" max="25" width="0" style="1" hidden="1" customWidth="1"/>
    <col min="26" max="16384" width="9.28515625" style="1"/>
  </cols>
  <sheetData>
    <row r="1" spans="1:14" ht="15" customHeight="1" x14ac:dyDescent="0.25">
      <c r="A1" s="17"/>
      <c r="B1" s="226"/>
      <c r="C1" s="17"/>
      <c r="D1" s="17"/>
      <c r="E1" s="227"/>
      <c r="F1" s="227"/>
      <c r="G1" s="227"/>
      <c r="H1" s="227"/>
      <c r="I1" s="227"/>
      <c r="J1" s="186"/>
      <c r="K1" s="17"/>
      <c r="L1" s="17"/>
      <c r="M1" s="17"/>
      <c r="N1" s="17"/>
    </row>
    <row r="2" spans="1:14" ht="15" customHeight="1" thickBot="1" x14ac:dyDescent="0.35">
      <c r="A2" s="17"/>
      <c r="B2" s="8" t="s">
        <v>25</v>
      </c>
      <c r="C2" s="228"/>
      <c r="D2" s="228"/>
      <c r="E2" s="229"/>
      <c r="F2" s="229"/>
      <c r="G2" s="229"/>
      <c r="H2" s="229"/>
      <c r="I2" s="229"/>
      <c r="J2" s="230"/>
      <c r="K2" s="228"/>
      <c r="L2" s="17"/>
      <c r="M2" s="17"/>
      <c r="N2" s="17"/>
    </row>
    <row r="3" spans="1:14" ht="15" customHeight="1" x14ac:dyDescent="0.3">
      <c r="A3" s="17"/>
      <c r="B3" s="205" t="s">
        <v>26</v>
      </c>
      <c r="C3" s="17"/>
      <c r="D3" s="17"/>
      <c r="E3" s="227"/>
      <c r="F3" s="227"/>
      <c r="G3" s="227"/>
      <c r="H3" s="227"/>
      <c r="I3" s="227"/>
      <c r="J3" s="186"/>
      <c r="K3" s="17"/>
      <c r="L3" s="17"/>
      <c r="M3" s="17"/>
      <c r="N3" s="17"/>
    </row>
    <row r="4" spans="1:14" ht="15" customHeight="1" x14ac:dyDescent="0.3">
      <c r="A4" s="17"/>
      <c r="B4" s="205"/>
      <c r="C4" s="17"/>
      <c r="D4" s="17"/>
      <c r="E4" s="227"/>
      <c r="F4" s="227"/>
      <c r="G4" s="227"/>
      <c r="H4" s="227"/>
      <c r="I4" s="227"/>
      <c r="J4" s="186"/>
      <c r="K4" s="17"/>
      <c r="L4" s="17"/>
      <c r="M4" s="17"/>
      <c r="N4" s="17"/>
    </row>
    <row r="5" spans="1:14" ht="15" customHeight="1" thickBot="1" x14ac:dyDescent="0.35">
      <c r="A5" s="17"/>
      <c r="B5" s="268" t="s">
        <v>27</v>
      </c>
      <c r="C5" s="269"/>
      <c r="D5" s="17"/>
      <c r="E5" s="227"/>
      <c r="F5" s="227"/>
      <c r="G5" s="227"/>
      <c r="H5" s="227"/>
      <c r="I5" s="227"/>
      <c r="J5" s="186"/>
      <c r="K5" s="17"/>
      <c r="L5" s="17"/>
      <c r="M5" s="46" t="s">
        <v>28</v>
      </c>
      <c r="N5" s="17">
        <f>VLOOKUP($B$6,'Data Tables'!$B$9:$C$13,2,FALSE)</f>
        <v>1</v>
      </c>
    </row>
    <row r="6" spans="1:14" ht="15" customHeight="1" x14ac:dyDescent="0.25">
      <c r="A6" s="46"/>
      <c r="B6" s="287" t="s">
        <v>86</v>
      </c>
      <c r="C6" s="287"/>
      <c r="D6" s="17"/>
      <c r="E6" s="227"/>
      <c r="F6" s="227"/>
      <c r="G6" s="227"/>
      <c r="H6" s="227"/>
      <c r="I6" s="227"/>
      <c r="J6" s="186"/>
      <c r="K6" s="17"/>
      <c r="L6" s="17"/>
      <c r="M6" s="44" t="s">
        <v>30</v>
      </c>
      <c r="N6" s="17">
        <f>IF($H$9&lt;$C$11,"None",IF($H$9&lt;11,1,IF($H$9&lt;30,2,3)))</f>
        <v>1</v>
      </c>
    </row>
    <row r="7" spans="1:14" ht="15" customHeight="1" x14ac:dyDescent="0.25">
      <c r="A7" s="17"/>
      <c r="B7" s="226"/>
      <c r="C7" s="17"/>
      <c r="D7" s="17"/>
      <c r="E7" s="227"/>
      <c r="F7" s="227"/>
      <c r="G7" s="227"/>
      <c r="H7" s="227"/>
      <c r="I7" s="227"/>
      <c r="J7" s="186"/>
      <c r="K7" s="17"/>
      <c r="L7" s="17"/>
      <c r="M7" s="46" t="s">
        <v>31</v>
      </c>
      <c r="N7" s="17" t="str">
        <f ca="1">OFFSET('Data Tables'!$C$22,0,('Worksheet for RENTAL'!N6-1)*3)</f>
        <v>10 units or fewer</v>
      </c>
    </row>
    <row r="8" spans="1:14" ht="15" customHeight="1" thickBot="1" x14ac:dyDescent="0.35">
      <c r="A8" s="17"/>
      <c r="B8" s="94" t="str">
        <f>"Inclusionary Requirement for "&amp;B6</f>
        <v>Inclusionary Requirement for Marin County</v>
      </c>
      <c r="C8" s="48"/>
      <c r="D8" s="17"/>
      <c r="E8" s="227"/>
      <c r="F8" s="231"/>
      <c r="G8" s="227"/>
      <c r="H8" s="231"/>
      <c r="I8" s="227"/>
      <c r="J8" s="186"/>
      <c r="K8" s="17"/>
      <c r="L8" s="17"/>
      <c r="M8" s="46" t="s">
        <v>32</v>
      </c>
      <c r="N8" s="232">
        <f>ROUNDUP(H11,0)</f>
        <v>1</v>
      </c>
    </row>
    <row r="9" spans="1:14" ht="15" customHeight="1" thickTop="1" x14ac:dyDescent="0.25">
      <c r="A9" s="46"/>
      <c r="B9" s="197" t="s">
        <v>33</v>
      </c>
      <c r="C9" s="233">
        <f>VLOOKUP($B$6,'Policy Parameters'!$B$5:$H$9,3,FALSE)</f>
        <v>0.2</v>
      </c>
      <c r="D9" s="17"/>
      <c r="E9" s="234"/>
      <c r="F9" s="148" t="s">
        <v>34</v>
      </c>
      <c r="G9" s="152"/>
      <c r="H9" s="235">
        <v>3</v>
      </c>
      <c r="I9" s="217" t="str">
        <f>IF(H9&lt;$C$11,"Please enter a whole number of at least "&amp;$C$11&amp;" units","")</f>
        <v/>
      </c>
      <c r="J9" s="186"/>
      <c r="K9" s="17"/>
      <c r="L9" s="17"/>
      <c r="M9" s="44" t="s">
        <v>35</v>
      </c>
      <c r="N9" s="232">
        <f>IF($N$11,0,ROUNDDOWN(H11,0))</f>
        <v>0</v>
      </c>
    </row>
    <row r="10" spans="1:14" ht="15" customHeight="1" x14ac:dyDescent="0.25">
      <c r="A10" s="17"/>
      <c r="B10" s="198" t="s">
        <v>36</v>
      </c>
      <c r="C10" s="236">
        <f>VLOOKUP($B$6,'Policy Parameters'!$B$5:$H$9,4,FALSE)</f>
        <v>421886.99</v>
      </c>
      <c r="D10" s="17"/>
      <c r="E10" s="234"/>
      <c r="F10" s="195" t="s">
        <v>37</v>
      </c>
      <c r="G10" s="150"/>
      <c r="H10" s="237">
        <f>$C$9</f>
        <v>0.2</v>
      </c>
      <c r="I10" s="196" t="s">
        <v>38</v>
      </c>
      <c r="J10" s="150"/>
      <c r="K10" s="238">
        <f>C10</f>
        <v>421886.99</v>
      </c>
      <c r="L10" s="17"/>
      <c r="M10" s="44" t="s">
        <v>39</v>
      </c>
      <c r="N10" s="239">
        <f>IF($N$11,0,H11-N9)</f>
        <v>0.60000000000000009</v>
      </c>
    </row>
    <row r="11" spans="1:14" ht="15" customHeight="1" x14ac:dyDescent="0.3">
      <c r="A11" s="17"/>
      <c r="B11" s="50" t="s">
        <v>40</v>
      </c>
      <c r="C11" s="240">
        <f>VLOOKUP($B$6,'Policy Parameters'!$B$5:$H$9,2,FALSE)</f>
        <v>2</v>
      </c>
      <c r="D11" s="17"/>
      <c r="E11" s="17"/>
      <c r="F11" s="196" t="str">
        <f>"Number of Units * Incl. Percent"</f>
        <v>Number of Units * Incl. Percent</v>
      </c>
      <c r="G11" s="150"/>
      <c r="H11" s="67">
        <f>H9*H10</f>
        <v>0.60000000000000009</v>
      </c>
      <c r="I11" s="196" t="s">
        <v>41</v>
      </c>
      <c r="J11" s="150"/>
      <c r="K11" s="238">
        <f>K10*H11</f>
        <v>253132.19400000002</v>
      </c>
      <c r="L11" s="17"/>
      <c r="M11" s="46" t="s">
        <v>42</v>
      </c>
      <c r="N11" s="17" t="b">
        <f>AND($B$6="Marin County",$H$9&gt;=4)</f>
        <v>0</v>
      </c>
    </row>
    <row r="12" spans="1:14" ht="15" customHeight="1" x14ac:dyDescent="0.25">
      <c r="A12" s="17"/>
      <c r="B12" s="46"/>
      <c r="C12" s="17"/>
      <c r="D12" s="17"/>
      <c r="E12" s="227"/>
      <c r="F12" s="241"/>
      <c r="G12" s="241"/>
      <c r="H12" s="227"/>
      <c r="I12" s="285" t="s">
        <v>43</v>
      </c>
      <c r="J12" s="285"/>
      <c r="K12" s="285"/>
      <c r="L12" s="17"/>
      <c r="M12" s="46" t="s">
        <v>44</v>
      </c>
      <c r="N12" s="17" t="b">
        <f>N8=N9</f>
        <v>0</v>
      </c>
    </row>
    <row r="13" spans="1:14" ht="15" customHeight="1" x14ac:dyDescent="0.25">
      <c r="A13" s="17"/>
      <c r="B13" s="46"/>
      <c r="C13" s="17"/>
      <c r="D13" s="17"/>
      <c r="E13" s="227"/>
      <c r="F13" s="227"/>
      <c r="G13" s="227"/>
      <c r="H13" s="227"/>
      <c r="I13" s="285"/>
      <c r="J13" s="285"/>
      <c r="K13" s="285"/>
      <c r="L13" s="17"/>
      <c r="M13" s="46" t="s">
        <v>45</v>
      </c>
      <c r="N13" s="17" t="b">
        <f>OR($N$11,$N$12)</f>
        <v>0</v>
      </c>
    </row>
    <row r="14" spans="1:14" ht="22.15" customHeight="1" thickBot="1" x14ac:dyDescent="0.35">
      <c r="A14" s="46"/>
      <c r="B14" s="311" t="s">
        <v>46</v>
      </c>
      <c r="C14" s="311"/>
      <c r="D14" s="207"/>
      <c r="E14" s="207"/>
      <c r="F14" s="207"/>
      <c r="G14" s="207"/>
      <c r="H14" s="207"/>
      <c r="I14" s="286"/>
      <c r="J14" s="286"/>
      <c r="K14" s="286"/>
      <c r="L14" s="17"/>
      <c r="M14" s="17"/>
      <c r="N14" s="17"/>
    </row>
    <row r="15" spans="1:14" ht="15" customHeight="1" thickTop="1" thickBot="1" x14ac:dyDescent="0.3">
      <c r="A15" s="17"/>
      <c r="B15" s="310"/>
      <c r="C15" s="310"/>
      <c r="D15" s="310"/>
      <c r="E15" s="310"/>
      <c r="F15" s="47"/>
      <c r="G15" s="47"/>
      <c r="H15" s="47"/>
      <c r="I15" s="227"/>
      <c r="J15" s="186"/>
      <c r="K15" s="17"/>
      <c r="L15" s="17"/>
      <c r="M15" s="17"/>
      <c r="N15" s="17"/>
    </row>
    <row r="16" spans="1:14" ht="15" customHeight="1" x14ac:dyDescent="0.25">
      <c r="A16" s="17"/>
      <c r="B16" s="17"/>
      <c r="C16" s="299" t="str">
        <f ca="1">"Onsite Percentage by Income Group for Developments of "&amp;$N$7</f>
        <v>Onsite Percentage by Income Group for Developments of 10 units or fewer</v>
      </c>
      <c r="D16" s="300"/>
      <c r="E16" s="301"/>
      <c r="F16" s="227"/>
      <c r="G16" s="227"/>
      <c r="H16" s="227"/>
      <c r="I16" s="227"/>
      <c r="J16" s="186"/>
      <c r="K16" s="17"/>
      <c r="L16" s="17"/>
      <c r="M16" s="17"/>
      <c r="N16" s="17"/>
    </row>
    <row r="17" spans="1:26" ht="15" customHeight="1" x14ac:dyDescent="0.25">
      <c r="A17" s="17"/>
      <c r="B17" s="17"/>
      <c r="C17" s="302"/>
      <c r="D17" s="303"/>
      <c r="E17" s="304"/>
      <c r="F17" s="227"/>
      <c r="G17" s="227"/>
      <c r="H17" s="227"/>
      <c r="I17" s="289"/>
      <c r="J17" s="289"/>
      <c r="K17" s="289"/>
      <c r="L17" s="17"/>
      <c r="M17" s="17"/>
      <c r="N17" s="17"/>
      <c r="O17" s="17"/>
      <c r="P17" s="17"/>
      <c r="Q17" s="17"/>
      <c r="R17" s="17"/>
      <c r="S17" s="17"/>
      <c r="T17" s="17"/>
      <c r="U17" s="17"/>
      <c r="V17" s="17"/>
      <c r="W17" s="17"/>
      <c r="X17" s="17"/>
      <c r="Y17" s="17"/>
      <c r="Z17" s="17"/>
    </row>
    <row r="18" spans="1:26" ht="15" customHeight="1" x14ac:dyDescent="0.25">
      <c r="A18" s="17"/>
      <c r="B18" s="226"/>
      <c r="C18" s="302"/>
      <c r="D18" s="303"/>
      <c r="E18" s="304"/>
      <c r="F18" s="227"/>
      <c r="G18" s="227"/>
      <c r="H18" s="227"/>
      <c r="I18" s="289"/>
      <c r="J18" s="289"/>
      <c r="K18" s="289"/>
      <c r="L18" s="17"/>
      <c r="M18" s="17"/>
      <c r="N18" s="17"/>
      <c r="O18" s="17"/>
      <c r="P18" s="17"/>
      <c r="Q18" s="17"/>
      <c r="R18" s="17"/>
      <c r="S18" s="17"/>
      <c r="T18" s="17"/>
      <c r="U18" s="17"/>
      <c r="V18" s="17"/>
      <c r="W18" s="17"/>
      <c r="X18" s="17"/>
      <c r="Y18" s="17"/>
      <c r="Z18" s="17"/>
    </row>
    <row r="19" spans="1:26" ht="15" customHeight="1" x14ac:dyDescent="0.25">
      <c r="A19" s="17"/>
      <c r="B19" s="50" t="s">
        <v>47</v>
      </c>
      <c r="C19" s="92" t="str">
        <f ca="1">IF(N24=0,"-","A")</f>
        <v>A</v>
      </c>
      <c r="D19" s="91" t="str">
        <f ca="1">IF(O24=0,"-","B")</f>
        <v>B</v>
      </c>
      <c r="E19" s="68" t="str">
        <f ca="1">IF(P24=0,"-","C")</f>
        <v>-</v>
      </c>
      <c r="F19" s="227"/>
      <c r="G19" s="227"/>
      <c r="H19" s="227"/>
      <c r="I19" s="188"/>
      <c r="J19" s="189"/>
      <c r="K19" s="192"/>
      <c r="L19" s="17"/>
      <c r="M19" s="186"/>
      <c r="N19" s="120" t="s">
        <v>48</v>
      </c>
      <c r="O19" s="121" t="s">
        <v>49</v>
      </c>
      <c r="P19" s="121" t="s">
        <v>50</v>
      </c>
      <c r="Q19" s="120" t="s">
        <v>48</v>
      </c>
      <c r="R19" s="121" t="s">
        <v>49</v>
      </c>
      <c r="S19" s="121" t="s">
        <v>50</v>
      </c>
      <c r="T19" s="120" t="s">
        <v>48</v>
      </c>
      <c r="U19" s="121" t="s">
        <v>49</v>
      </c>
      <c r="V19" s="121" t="s">
        <v>50</v>
      </c>
      <c r="W19" s="17"/>
      <c r="X19" s="17"/>
      <c r="Y19" s="17"/>
      <c r="Z19" s="17"/>
    </row>
    <row r="20" spans="1:26" ht="15" customHeight="1" x14ac:dyDescent="0.25">
      <c r="A20" s="17"/>
      <c r="B20" s="51" t="s">
        <v>51</v>
      </c>
      <c r="C20" s="60">
        <f t="shared" ref="C20:E23" ca="1" si="0">IF(AND(Q20&gt;0,ISNUMBER(Q20)),Q20,"-")</f>
        <v>0.1</v>
      </c>
      <c r="D20" s="61" t="str">
        <f t="shared" ca="1" si="0"/>
        <v>-</v>
      </c>
      <c r="E20" s="62" t="str">
        <f t="shared" ca="1" si="0"/>
        <v>-</v>
      </c>
      <c r="F20" s="227"/>
      <c r="G20" s="227"/>
      <c r="H20" s="227"/>
      <c r="I20" s="190"/>
      <c r="J20" s="190"/>
      <c r="K20" s="190"/>
      <c r="L20" s="17"/>
      <c r="M20" s="186"/>
      <c r="N20" s="242">
        <f t="shared" ref="N20:P23" ca="1" si="1">IF(Q20="n/a",0,Q20)</f>
        <v>0.1</v>
      </c>
      <c r="O20" s="242">
        <f t="shared" ca="1" si="1"/>
        <v>0</v>
      </c>
      <c r="P20" s="242">
        <f t="shared" ca="1" si="1"/>
        <v>0</v>
      </c>
      <c r="Q20" s="242">
        <f ca="1">OFFSET('Data Tables'!C25,0,('Worksheet for RENTAL'!$N$6-1)*3)</f>
        <v>0.1</v>
      </c>
      <c r="R20" s="242">
        <f ca="1">OFFSET('Data Tables'!D25,0,('Worksheet for RENTAL'!$N$6-1)*3)</f>
        <v>0</v>
      </c>
      <c r="S20" s="242" t="str">
        <f ca="1">OFFSET('Data Tables'!E25,0,('Worksheet for RENTAL'!$N$6-1)*3)</f>
        <v>n/a</v>
      </c>
      <c r="T20" s="243">
        <f t="shared" ref="T20:V23" ca="1" si="2">IF(ISNUMBER(Q20*$H$9),Q20*$H$9,0)</f>
        <v>0.30000000000000004</v>
      </c>
      <c r="U20" s="243">
        <f t="shared" ca="1" si="2"/>
        <v>0</v>
      </c>
      <c r="V20" s="243">
        <f t="shared" ca="1" si="2"/>
        <v>0</v>
      </c>
      <c r="W20" s="17"/>
      <c r="X20" s="17"/>
      <c r="Y20" s="17"/>
      <c r="Z20" s="17"/>
    </row>
    <row r="21" spans="1:26" ht="15" customHeight="1" x14ac:dyDescent="0.25">
      <c r="A21" s="17"/>
      <c r="B21" s="52" t="s">
        <v>52</v>
      </c>
      <c r="C21" s="60" t="str">
        <f t="shared" ca="1" si="0"/>
        <v>-</v>
      </c>
      <c r="D21" s="61">
        <f t="shared" ca="1" si="0"/>
        <v>0.15</v>
      </c>
      <c r="E21" s="62" t="str">
        <f t="shared" ca="1" si="0"/>
        <v>-</v>
      </c>
      <c r="F21" s="227"/>
      <c r="G21" s="227"/>
      <c r="H21" s="227"/>
      <c r="I21" s="190"/>
      <c r="J21" s="190"/>
      <c r="K21" s="190"/>
      <c r="L21" s="227"/>
      <c r="M21" s="186"/>
      <c r="N21" s="242">
        <f t="shared" ca="1" si="1"/>
        <v>0</v>
      </c>
      <c r="O21" s="242">
        <f t="shared" ca="1" si="1"/>
        <v>0.15</v>
      </c>
      <c r="P21" s="242">
        <f t="shared" ca="1" si="1"/>
        <v>0</v>
      </c>
      <c r="Q21" s="242">
        <f ca="1">OFFSET('Data Tables'!C26,0,('Worksheet for RENTAL'!$N$6-1)*3)</f>
        <v>0</v>
      </c>
      <c r="R21" s="242">
        <f ca="1">OFFSET('Data Tables'!D26,0,('Worksheet for RENTAL'!$N$6-1)*3)</f>
        <v>0.15</v>
      </c>
      <c r="S21" s="242" t="str">
        <f ca="1">OFFSET('Data Tables'!E26,0,('Worksheet for RENTAL'!$N$6-1)*3)</f>
        <v>n/a</v>
      </c>
      <c r="T21" s="243">
        <f t="shared" ca="1" si="2"/>
        <v>0</v>
      </c>
      <c r="U21" s="243">
        <f t="shared" ca="1" si="2"/>
        <v>0.44999999999999996</v>
      </c>
      <c r="V21" s="243">
        <f t="shared" ca="1" si="2"/>
        <v>0</v>
      </c>
      <c r="W21" s="17"/>
      <c r="X21" s="17">
        <f ca="1">MATCH(LARGE($V$20:$V$23,1),$V$20:$V$23,0)</f>
        <v>1</v>
      </c>
      <c r="Y21" s="17"/>
      <c r="Z21" s="17"/>
    </row>
    <row r="22" spans="1:26" ht="15" customHeight="1" x14ac:dyDescent="0.25">
      <c r="A22" s="17"/>
      <c r="B22" s="51" t="s">
        <v>53</v>
      </c>
      <c r="C22" s="60" t="str">
        <f t="shared" ca="1" si="0"/>
        <v>-</v>
      </c>
      <c r="D22" s="61" t="str">
        <f t="shared" ca="1" si="0"/>
        <v>-</v>
      </c>
      <c r="E22" s="62" t="str">
        <f t="shared" ca="1" si="0"/>
        <v>-</v>
      </c>
      <c r="F22" s="227"/>
      <c r="G22" s="227"/>
      <c r="H22" s="227"/>
      <c r="I22" s="190"/>
      <c r="J22" s="190"/>
      <c r="K22" s="190"/>
      <c r="L22" s="227"/>
      <c r="M22" s="186"/>
      <c r="N22" s="242">
        <f t="shared" ca="1" si="1"/>
        <v>0</v>
      </c>
      <c r="O22" s="242">
        <f t="shared" ca="1" si="1"/>
        <v>0</v>
      </c>
      <c r="P22" s="242">
        <f t="shared" ca="1" si="1"/>
        <v>0</v>
      </c>
      <c r="Q22" s="242">
        <f ca="1">OFFSET('Data Tables'!C27,0,('Worksheet for RENTAL'!$N$6-1)*3)</f>
        <v>0</v>
      </c>
      <c r="R22" s="242">
        <f ca="1">OFFSET('Data Tables'!D27,0,('Worksheet for RENTAL'!$N$6-1)*3)</f>
        <v>0</v>
      </c>
      <c r="S22" s="242" t="str">
        <f ca="1">OFFSET('Data Tables'!E27,0,('Worksheet for RENTAL'!$N$6-1)*3)</f>
        <v>n/a</v>
      </c>
      <c r="T22" s="243">
        <f t="shared" ca="1" si="2"/>
        <v>0</v>
      </c>
      <c r="U22" s="243">
        <f t="shared" ca="1" si="2"/>
        <v>0</v>
      </c>
      <c r="V22" s="243">
        <f t="shared" ca="1" si="2"/>
        <v>0</v>
      </c>
      <c r="W22" s="17"/>
      <c r="X22" s="17">
        <f ca="1">MATCH(LARGE($V$20:$V$23,2),$V$20:$V$23,0)</f>
        <v>1</v>
      </c>
      <c r="Y22" s="17"/>
      <c r="Z22" s="17"/>
    </row>
    <row r="23" spans="1:26" ht="15" customHeight="1" x14ac:dyDescent="0.25">
      <c r="A23" s="17"/>
      <c r="B23" s="51" t="s">
        <v>54</v>
      </c>
      <c r="C23" s="60">
        <f t="shared" ca="1" si="0"/>
        <v>0.1</v>
      </c>
      <c r="D23" s="61">
        <f t="shared" ca="1" si="0"/>
        <v>0.05</v>
      </c>
      <c r="E23" s="62" t="str">
        <f t="shared" ca="1" si="0"/>
        <v>-</v>
      </c>
      <c r="F23" s="227"/>
      <c r="G23" s="227"/>
      <c r="H23" s="227"/>
      <c r="I23" s="190"/>
      <c r="J23" s="190"/>
      <c r="K23" s="190"/>
      <c r="L23" s="227"/>
      <c r="M23" s="186"/>
      <c r="N23" s="242">
        <f t="shared" ca="1" si="1"/>
        <v>0.1</v>
      </c>
      <c r="O23" s="242">
        <f t="shared" ca="1" si="1"/>
        <v>0.05</v>
      </c>
      <c r="P23" s="242">
        <f t="shared" ca="1" si="1"/>
        <v>0</v>
      </c>
      <c r="Q23" s="242">
        <f ca="1">OFFSET('Data Tables'!C28,0,('Worksheet for RENTAL'!$N$6-1)*3)</f>
        <v>0.1</v>
      </c>
      <c r="R23" s="242">
        <f ca="1">OFFSET('Data Tables'!D28,0,('Worksheet for RENTAL'!$N$6-1)*3)</f>
        <v>0.05</v>
      </c>
      <c r="S23" s="242" t="str">
        <f ca="1">OFFSET('Data Tables'!E28,0,('Worksheet for RENTAL'!$N$6-1)*3)</f>
        <v>n/a</v>
      </c>
      <c r="T23" s="243">
        <f t="shared" ca="1" si="2"/>
        <v>0.30000000000000004</v>
      </c>
      <c r="U23" s="243">
        <f t="shared" ca="1" si="2"/>
        <v>0.15000000000000002</v>
      </c>
      <c r="V23" s="243">
        <f t="shared" ca="1" si="2"/>
        <v>0</v>
      </c>
      <c r="W23" s="17"/>
      <c r="X23" s="17">
        <f ca="1">MATCH(LARGE($V$20:$V$23,3),$V$20:$V$23,0)</f>
        <v>1</v>
      </c>
      <c r="Y23" s="17"/>
      <c r="Z23" s="17"/>
    </row>
    <row r="24" spans="1:26" ht="15" customHeight="1" thickBot="1" x14ac:dyDescent="0.3">
      <c r="A24" s="17"/>
      <c r="B24" s="45" t="s">
        <v>55</v>
      </c>
      <c r="C24" s="115">
        <f ca="1">IF(SUM(C20:C23)&gt;0,SUM(C20:C23),"-")</f>
        <v>0.2</v>
      </c>
      <c r="D24" s="116">
        <f ca="1">IF(SUM(D20:D23)&gt;0,SUM(D20:D23),"-")</f>
        <v>0.2</v>
      </c>
      <c r="E24" s="117" t="str">
        <f ca="1">IF(SUM(E20:E23)&gt;0,SUM(E20:E23),"-")</f>
        <v>-</v>
      </c>
      <c r="F24" s="17"/>
      <c r="G24" s="17"/>
      <c r="H24" s="17"/>
      <c r="I24" s="194"/>
      <c r="J24" s="193"/>
      <c r="K24" s="193"/>
      <c r="L24" s="227"/>
      <c r="M24" s="186"/>
      <c r="N24" s="79">
        <f t="shared" ref="N24:V24" ca="1" si="3">SUM(N20:N23)</f>
        <v>0.2</v>
      </c>
      <c r="O24" s="79">
        <f t="shared" ca="1" si="3"/>
        <v>0.2</v>
      </c>
      <c r="P24" s="79">
        <f t="shared" ca="1" si="3"/>
        <v>0</v>
      </c>
      <c r="Q24" s="79">
        <f t="shared" ca="1" si="3"/>
        <v>0.2</v>
      </c>
      <c r="R24" s="79">
        <f t="shared" ca="1" si="3"/>
        <v>0.2</v>
      </c>
      <c r="S24" s="79">
        <f t="shared" ca="1" si="3"/>
        <v>0</v>
      </c>
      <c r="T24" s="243">
        <f t="shared" ca="1" si="3"/>
        <v>0.60000000000000009</v>
      </c>
      <c r="U24" s="243">
        <f t="shared" ca="1" si="3"/>
        <v>0.6</v>
      </c>
      <c r="V24" s="243">
        <f t="shared" ca="1" si="3"/>
        <v>0</v>
      </c>
      <c r="W24" s="17"/>
      <c r="X24" s="17">
        <f ca="1">MATCH(LARGE($V$20:$V$23,4),$V$20:$V$23,0)</f>
        <v>1</v>
      </c>
      <c r="Y24" s="17"/>
      <c r="Z24" s="17"/>
    </row>
    <row r="25" spans="1:26" ht="15" customHeight="1" x14ac:dyDescent="0.25">
      <c r="A25" s="17"/>
      <c r="B25" s="184"/>
      <c r="C25" s="185"/>
      <c r="D25" s="185"/>
      <c r="E25" s="191"/>
      <c r="F25" s="187"/>
      <c r="G25" s="187"/>
      <c r="H25" s="187"/>
      <c r="I25" s="187"/>
      <c r="J25" s="187"/>
      <c r="K25" s="187"/>
      <c r="L25" s="227"/>
      <c r="M25" s="186"/>
      <c r="N25" s="79"/>
      <c r="O25" s="79"/>
      <c r="P25" s="79"/>
      <c r="Q25" s="79"/>
      <c r="R25" s="79"/>
      <c r="S25" s="79"/>
      <c r="T25" s="243"/>
      <c r="U25" s="243"/>
      <c r="V25" s="243"/>
      <c r="W25" s="17"/>
      <c r="X25" s="17"/>
      <c r="Y25" s="17"/>
      <c r="Z25" s="17"/>
    </row>
    <row r="26" spans="1:26" ht="15" customHeight="1" thickBot="1" x14ac:dyDescent="0.35">
      <c r="A26" s="17"/>
      <c r="B26" s="211" t="s">
        <v>56</v>
      </c>
      <c r="C26" s="17"/>
      <c r="D26" s="206"/>
      <c r="E26" s="209"/>
      <c r="F26" s="208"/>
      <c r="G26" s="187"/>
      <c r="H26" s="187"/>
      <c r="I26" s="187"/>
      <c r="J26" s="187"/>
      <c r="K26" s="187"/>
      <c r="L26" s="227"/>
      <c r="M26" s="186"/>
      <c r="N26" s="79"/>
      <c r="O26" s="79"/>
      <c r="P26" s="79"/>
      <c r="Q26" s="79"/>
      <c r="R26" s="79"/>
      <c r="S26" s="79"/>
      <c r="T26" s="243"/>
      <c r="U26" s="243"/>
      <c r="V26" s="243"/>
      <c r="W26" s="17"/>
      <c r="X26" s="17"/>
      <c r="Y26" s="17"/>
      <c r="Z26" s="17"/>
    </row>
    <row r="27" spans="1:26" ht="15" customHeight="1" x14ac:dyDescent="0.3">
      <c r="A27" s="17"/>
      <c r="B27" s="212"/>
      <c r="C27" s="210"/>
      <c r="D27" s="244"/>
      <c r="E27" s="244"/>
      <c r="F27" s="297" t="s">
        <v>57</v>
      </c>
      <c r="G27" s="295"/>
      <c r="H27" s="298"/>
      <c r="I27" s="294" t="s">
        <v>58</v>
      </c>
      <c r="J27" s="295"/>
      <c r="K27" s="296"/>
      <c r="L27" s="227"/>
      <c r="M27" s="186"/>
      <c r="N27" s="17"/>
      <c r="O27" s="17"/>
      <c r="P27" s="17"/>
      <c r="Q27" s="17"/>
      <c r="R27" s="17"/>
      <c r="S27" s="17"/>
      <c r="T27" s="17"/>
      <c r="U27" s="17"/>
      <c r="V27" s="17"/>
      <c r="W27" s="17"/>
      <c r="X27" s="17"/>
      <c r="Y27" s="17"/>
      <c r="Z27" s="17"/>
    </row>
    <row r="28" spans="1:26" ht="33" customHeight="1" thickBot="1" x14ac:dyDescent="0.3">
      <c r="A28" s="17"/>
      <c r="B28" s="17"/>
      <c r="C28" s="95"/>
      <c r="D28" s="95"/>
      <c r="E28" s="95"/>
      <c r="F28" s="308" t="str">
        <f>"Applicant provides "&amp;$N$8&amp;" affordable unit(s) onsite."</f>
        <v>Applicant provides 1 affordable unit(s) onsite.</v>
      </c>
      <c r="G28" s="306"/>
      <c r="H28" s="309"/>
      <c r="I28" s="305" t="str">
        <f>IF($N$11,"NOTE: The option to pay the in-lieu fee on fractional units is not available for projects of 4 units or more.",IF($N$12,"This option does not apply because the calculated total inclusionary units does not result in a fraction.","Applicant provides "&amp;$N$9&amp;" affordable unit(s) onsite and pays the in-lieu fee on "&amp;TEXT($N$10,"0.0000")&amp;" fractional units."))</f>
        <v>Applicant provides 0 affordable unit(s) onsite and pays the in-lieu fee on 0.6000 fractional units.</v>
      </c>
      <c r="J28" s="306"/>
      <c r="K28" s="307"/>
      <c r="L28" s="227"/>
      <c r="M28" s="186"/>
      <c r="N28" s="17"/>
      <c r="O28" s="17"/>
      <c r="P28" s="17"/>
      <c r="Q28" s="17"/>
      <c r="R28" s="17"/>
      <c r="S28" s="17"/>
      <c r="T28" s="17"/>
      <c r="U28" s="17"/>
      <c r="V28" s="17"/>
      <c r="W28" s="17"/>
      <c r="X28" s="17"/>
      <c r="Y28" s="17"/>
      <c r="Z28" s="17"/>
    </row>
    <row r="29" spans="1:26" x14ac:dyDescent="0.25">
      <c r="A29" s="17"/>
      <c r="B29" s="226"/>
      <c r="C29" s="290" t="s">
        <v>59</v>
      </c>
      <c r="D29" s="291"/>
      <c r="E29" s="291"/>
      <c r="F29" s="321" t="s">
        <v>60</v>
      </c>
      <c r="G29" s="322"/>
      <c r="H29" s="323"/>
      <c r="I29" s="318" t="str">
        <f>IF($N$13,"-","Enter whole numbers in the table below for a total of:")</f>
        <v>Enter whole numbers in the table below for a total of:</v>
      </c>
      <c r="J29" s="319"/>
      <c r="K29" s="320"/>
      <c r="L29" s="227"/>
      <c r="M29" s="186"/>
      <c r="N29" s="17"/>
      <c r="O29" s="17"/>
      <c r="P29" s="17"/>
      <c r="Q29" s="17"/>
      <c r="R29" s="17"/>
      <c r="S29" s="17"/>
      <c r="T29" s="17"/>
      <c r="U29" s="17"/>
      <c r="V29" s="17"/>
      <c r="W29" s="17"/>
      <c r="X29" s="17"/>
      <c r="Y29" s="17"/>
      <c r="Z29" s="17"/>
    </row>
    <row r="30" spans="1:26" ht="17.649999999999999" customHeight="1" x14ac:dyDescent="0.25">
      <c r="A30" s="17"/>
      <c r="B30" s="213"/>
      <c r="C30" s="292"/>
      <c r="D30" s="293"/>
      <c r="E30" s="293"/>
      <c r="F30" s="312" t="str">
        <f>$N$8&amp;" unit(s)"</f>
        <v>1 unit(s)</v>
      </c>
      <c r="G30" s="313"/>
      <c r="H30" s="314"/>
      <c r="I30" s="315" t="str">
        <f>IF($N$13,"-",$N$9&amp;" unit(s)")</f>
        <v>0 unit(s)</v>
      </c>
      <c r="J30" s="316"/>
      <c r="K30" s="317"/>
      <c r="L30" s="227"/>
      <c r="M30" s="245" t="str">
        <f>"plus an in-lieu fee for the remaining "&amp;TEXT($N$10,"0.0000")&amp;" fractional units"</f>
        <v>plus an in-lieu fee for the remaining 0.6000 fractional units</v>
      </c>
      <c r="N30" s="84"/>
      <c r="O30" s="84"/>
      <c r="P30" s="84"/>
      <c r="Q30" s="84"/>
      <c r="R30" s="84"/>
      <c r="S30" s="84"/>
      <c r="T30" s="246"/>
      <c r="U30" s="246"/>
      <c r="V30" s="246"/>
      <c r="W30" s="247"/>
      <c r="X30" s="247"/>
      <c r="Y30" s="247"/>
      <c r="Z30" s="247"/>
    </row>
    <row r="31" spans="1:26" ht="13.9" customHeight="1" x14ac:dyDescent="0.25">
      <c r="A31" s="17"/>
      <c r="B31" s="214" t="s">
        <v>47</v>
      </c>
      <c r="C31" s="92" t="str">
        <f ca="1">C19</f>
        <v>A</v>
      </c>
      <c r="D31" s="91" t="str">
        <f ca="1">D19</f>
        <v>B</v>
      </c>
      <c r="E31" s="202" t="str">
        <f ca="1">E19</f>
        <v>-</v>
      </c>
      <c r="F31" s="96" t="str">
        <f ca="1">C31</f>
        <v>A</v>
      </c>
      <c r="G31" s="204" t="str">
        <f ca="1">D31</f>
        <v>B</v>
      </c>
      <c r="H31" s="112" t="str">
        <f ca="1">E31</f>
        <v>-</v>
      </c>
      <c r="I31" s="97" t="str">
        <f ca="1">IF($N$13,"-",C19)</f>
        <v>A</v>
      </c>
      <c r="J31" s="97" t="str">
        <f ca="1">IF($N$13,"-",D19)</f>
        <v>B</v>
      </c>
      <c r="K31" s="203" t="str">
        <f t="shared" ref="K31" ca="1" si="4">IF($N$13,"-",E19)</f>
        <v>-</v>
      </c>
      <c r="L31" s="227"/>
      <c r="M31" s="245"/>
      <c r="N31" s="84"/>
      <c r="O31" s="84"/>
      <c r="P31" s="84"/>
      <c r="Q31" s="84"/>
      <c r="R31" s="84"/>
      <c r="S31" s="84"/>
      <c r="T31" s="246"/>
      <c r="U31" s="246"/>
      <c r="V31" s="246"/>
      <c r="W31" s="247"/>
      <c r="X31" s="247"/>
      <c r="Y31" s="247"/>
      <c r="Z31" s="247"/>
    </row>
    <row r="32" spans="1:26" s="85" customFormat="1" ht="14.65" customHeight="1" x14ac:dyDescent="0.25">
      <c r="A32" s="17"/>
      <c r="B32" s="159" t="s">
        <v>51</v>
      </c>
      <c r="C32" s="76">
        <f t="shared" ref="C32:E35" ca="1" si="5">IF(N20=0,0,T20)</f>
        <v>0.30000000000000004</v>
      </c>
      <c r="D32" s="81">
        <f t="shared" ca="1" si="5"/>
        <v>0</v>
      </c>
      <c r="E32" s="81">
        <f t="shared" ca="1" si="5"/>
        <v>0</v>
      </c>
      <c r="F32" s="142"/>
      <c r="G32" s="123"/>
      <c r="H32" s="124"/>
      <c r="I32" s="123"/>
      <c r="J32" s="144"/>
      <c r="K32" s="145"/>
      <c r="L32" s="248"/>
      <c r="M32" s="186" t="s">
        <v>61</v>
      </c>
      <c r="N32" s="79"/>
      <c r="O32" s="79"/>
      <c r="P32" s="79"/>
      <c r="Q32" s="79"/>
      <c r="R32" s="79"/>
      <c r="S32" s="79"/>
      <c r="T32" s="243"/>
      <c r="U32" s="243"/>
      <c r="V32" s="243"/>
      <c r="W32" s="17"/>
      <c r="X32" s="17"/>
      <c r="Y32" s="17"/>
      <c r="Z32" s="17"/>
    </row>
    <row r="33" spans="1:26" s="85" customFormat="1" ht="14.65" customHeight="1" x14ac:dyDescent="0.25">
      <c r="A33" s="17"/>
      <c r="B33" s="159" t="s">
        <v>52</v>
      </c>
      <c r="C33" s="76">
        <f t="shared" ca="1" si="5"/>
        <v>0</v>
      </c>
      <c r="D33" s="182">
        <f t="shared" ca="1" si="5"/>
        <v>0.44999999999999996</v>
      </c>
      <c r="E33" s="78">
        <f t="shared" ca="1" si="5"/>
        <v>0</v>
      </c>
      <c r="F33" s="122"/>
      <c r="G33" s="125"/>
      <c r="H33" s="126"/>
      <c r="I33" s="123"/>
      <c r="J33" s="125"/>
      <c r="K33" s="127"/>
      <c r="L33" s="248"/>
      <c r="M33" s="186"/>
      <c r="N33" s="79"/>
      <c r="O33" s="79"/>
      <c r="P33" s="79"/>
      <c r="Q33" s="79"/>
      <c r="R33" s="79"/>
      <c r="S33" s="79"/>
      <c r="T33" s="243"/>
      <c r="U33" s="243"/>
      <c r="V33" s="243"/>
      <c r="W33" s="17"/>
      <c r="X33" s="17"/>
      <c r="Y33" s="17"/>
      <c r="Z33" s="17"/>
    </row>
    <row r="34" spans="1:26" ht="13.9" customHeight="1" x14ac:dyDescent="0.25">
      <c r="A34" s="17"/>
      <c r="B34" s="159" t="s">
        <v>53</v>
      </c>
      <c r="C34" s="76">
        <f t="shared" ca="1" si="5"/>
        <v>0</v>
      </c>
      <c r="D34" s="182">
        <f t="shared" ca="1" si="5"/>
        <v>0</v>
      </c>
      <c r="E34" s="78">
        <f t="shared" ca="1" si="5"/>
        <v>0</v>
      </c>
      <c r="F34" s="122"/>
      <c r="G34" s="125"/>
      <c r="H34" s="126"/>
      <c r="I34" s="123"/>
      <c r="J34" s="125"/>
      <c r="K34" s="127"/>
      <c r="L34" s="227"/>
      <c r="M34" s="186"/>
      <c r="N34" s="79"/>
      <c r="O34" s="79"/>
      <c r="P34" s="79"/>
      <c r="Q34" s="79"/>
      <c r="R34" s="79"/>
      <c r="S34" s="79"/>
      <c r="T34" s="243"/>
      <c r="U34" s="243"/>
      <c r="V34" s="243"/>
      <c r="W34" s="17"/>
      <c r="X34" s="17"/>
      <c r="Y34" s="17"/>
      <c r="Z34" s="17"/>
    </row>
    <row r="35" spans="1:26" ht="13.9" customHeight="1" x14ac:dyDescent="0.25">
      <c r="A35" s="17"/>
      <c r="B35" s="159" t="s">
        <v>54</v>
      </c>
      <c r="C35" s="76">
        <f t="shared" ca="1" si="5"/>
        <v>0.30000000000000004</v>
      </c>
      <c r="D35" s="183">
        <f t="shared" ca="1" si="5"/>
        <v>0.15000000000000002</v>
      </c>
      <c r="E35" s="183">
        <f t="shared" ca="1" si="5"/>
        <v>0</v>
      </c>
      <c r="F35" s="143"/>
      <c r="G35" s="123"/>
      <c r="H35" s="128"/>
      <c r="I35" s="123"/>
      <c r="J35" s="146"/>
      <c r="K35" s="129"/>
      <c r="L35" s="227"/>
      <c r="M35" s="186"/>
      <c r="N35" s="79"/>
      <c r="O35" s="79"/>
      <c r="P35" s="79"/>
      <c r="Q35" s="79"/>
      <c r="R35" s="79"/>
      <c r="S35" s="79"/>
      <c r="T35" s="243"/>
      <c r="U35" s="243"/>
      <c r="V35" s="243"/>
      <c r="W35" s="17"/>
      <c r="X35" s="17"/>
      <c r="Y35" s="17"/>
      <c r="Z35" s="17"/>
    </row>
    <row r="36" spans="1:26" ht="13.9" customHeight="1" thickBot="1" x14ac:dyDescent="0.3">
      <c r="A36" s="17"/>
      <c r="B36" s="215" t="s">
        <v>62</v>
      </c>
      <c r="C36" s="200">
        <f ca="1">SUM(C32:C35)</f>
        <v>0.60000000000000009</v>
      </c>
      <c r="D36" s="201">
        <f ca="1">SUM(D32:D35)</f>
        <v>0.6</v>
      </c>
      <c r="E36" s="201">
        <f ca="1">SUM(E32:E35)</f>
        <v>0</v>
      </c>
      <c r="F36" s="139">
        <f ca="1">IF(C31="-","-",SUM(F32:F35))</f>
        <v>0</v>
      </c>
      <c r="G36" s="141">
        <f ca="1">IF(D31="-","-",SUM(G32:G35))</f>
        <v>0</v>
      </c>
      <c r="H36" s="141" t="str">
        <f ca="1">IF(E31="-","-",SUM(H32:H35))</f>
        <v>-</v>
      </c>
      <c r="I36" s="157">
        <f ca="1">IF(I31="-","-",SUM(I32:I35))</f>
        <v>0</v>
      </c>
      <c r="J36" s="141">
        <f ca="1">IF(J31="-","-",SUM(J32:J35))</f>
        <v>0</v>
      </c>
      <c r="K36" s="140" t="str">
        <f ca="1">IF(K31="-","-",SUM(K32:K35))</f>
        <v>-</v>
      </c>
      <c r="L36" s="227"/>
      <c r="M36" s="186"/>
      <c r="N36" s="79"/>
      <c r="O36" s="79"/>
      <c r="P36" s="79"/>
      <c r="Q36" s="79"/>
      <c r="R36" s="79"/>
      <c r="S36" s="79"/>
      <c r="T36" s="243"/>
      <c r="U36" s="243"/>
      <c r="V36" s="243"/>
      <c r="W36" s="17"/>
      <c r="X36" s="17"/>
      <c r="Y36" s="17"/>
      <c r="Z36" s="17"/>
    </row>
    <row r="37" spans="1:26" ht="28.9" customHeight="1" x14ac:dyDescent="0.25">
      <c r="A37" s="17"/>
      <c r="B37" s="100"/>
      <c r="C37" s="199"/>
      <c r="D37" s="288" t="s">
        <v>63</v>
      </c>
      <c r="E37" s="288"/>
      <c r="F37" s="90" t="str">
        <f ca="1">IF(C31="-","-",IF(F36=$N$8,"Complete","Total units should equal "&amp;$N$8))</f>
        <v>Total units should equal 1</v>
      </c>
      <c r="G37" s="101" t="str">
        <f ca="1">IF(D31="-","-",IF(G36=$N$8,"Complete","Total units should equal "&amp;$N$8))</f>
        <v>Total units should equal 1</v>
      </c>
      <c r="H37" s="113" t="str">
        <f ca="1">IF(E31="-","-",IF(H36=$N$8,"Complete","Total units should equal "&amp;$N$8))</f>
        <v>-</v>
      </c>
      <c r="I37" s="111" t="str">
        <f ca="1">IF(I31="-","-",IF(I36=$N$9,"Complete","Total units should equal "&amp;$N$9 ))</f>
        <v>Complete</v>
      </c>
      <c r="J37" s="101" t="str">
        <f ca="1">IF(J31="-","-",IF(J36=$N$9,"Complete","Total units should equal "&amp;$N$9 ))</f>
        <v>Complete</v>
      </c>
      <c r="K37" s="102" t="str">
        <f ca="1">IF(K31="-","-",IF(K36=$N$9,"Complete","Total units should equal "&amp;$N$9 ))</f>
        <v>-</v>
      </c>
      <c r="L37" s="227"/>
      <c r="M37" s="17"/>
      <c r="N37" s="17"/>
      <c r="O37" s="17"/>
      <c r="P37" s="17"/>
      <c r="Q37" s="242"/>
      <c r="R37" s="242"/>
      <c r="S37" s="242"/>
      <c r="T37" s="17"/>
      <c r="U37" s="17"/>
      <c r="V37" s="17"/>
      <c r="W37" s="17"/>
      <c r="X37" s="17"/>
      <c r="Y37" s="17"/>
      <c r="Z37" s="17"/>
    </row>
    <row r="38" spans="1:26" x14ac:dyDescent="0.25">
      <c r="A38" s="17"/>
      <c r="B38" s="234"/>
      <c r="C38" s="283" t="s">
        <v>36</v>
      </c>
      <c r="D38" s="283"/>
      <c r="E38" s="283"/>
      <c r="F38" s="249"/>
      <c r="G38" s="250"/>
      <c r="H38" s="251"/>
      <c r="I38" s="250"/>
      <c r="J38" s="250"/>
      <c r="K38" s="252"/>
      <c r="L38" s="227"/>
      <c r="M38" s="186"/>
      <c r="N38" s="17"/>
      <c r="O38" s="17"/>
      <c r="P38" s="17"/>
      <c r="Q38" s="253"/>
      <c r="R38" s="253"/>
      <c r="S38" s="253"/>
      <c r="T38" s="17"/>
      <c r="U38" s="17"/>
      <c r="V38" s="17"/>
      <c r="W38" s="17"/>
      <c r="X38" s="17"/>
      <c r="Y38" s="17"/>
      <c r="Z38" s="17"/>
    </row>
    <row r="39" spans="1:26" x14ac:dyDescent="0.25">
      <c r="A39" s="17"/>
      <c r="B39" s="234"/>
      <c r="C39" s="284" t="s">
        <v>64</v>
      </c>
      <c r="D39" s="284"/>
      <c r="E39" s="284"/>
      <c r="F39" s="63">
        <f t="shared" ref="F39:K39" ca="1" si="6">IF(F31="-",0,F35*$C$10)</f>
        <v>0</v>
      </c>
      <c r="G39" s="49">
        <f t="shared" ca="1" si="6"/>
        <v>0</v>
      </c>
      <c r="H39" s="54">
        <f t="shared" ca="1" si="6"/>
        <v>0</v>
      </c>
      <c r="I39" s="53">
        <f t="shared" ca="1" si="6"/>
        <v>0</v>
      </c>
      <c r="J39" s="49">
        <f t="shared" ca="1" si="6"/>
        <v>0</v>
      </c>
      <c r="K39" s="55">
        <f t="shared" ca="1" si="6"/>
        <v>0</v>
      </c>
      <c r="L39" s="227"/>
      <c r="M39" s="186"/>
      <c r="N39" s="17"/>
      <c r="O39" s="17"/>
      <c r="P39" s="17"/>
      <c r="Q39" s="242"/>
      <c r="R39" s="242"/>
      <c r="S39" s="242"/>
      <c r="T39" s="46"/>
      <c r="U39" s="46"/>
      <c r="V39" s="46"/>
      <c r="W39" s="17"/>
      <c r="X39" s="17"/>
      <c r="Y39" s="17"/>
      <c r="Z39" s="17"/>
    </row>
    <row r="40" spans="1:26" x14ac:dyDescent="0.25">
      <c r="A40" s="17"/>
      <c r="B40" s="234"/>
      <c r="C40" s="284" t="s">
        <v>65</v>
      </c>
      <c r="D40" s="284"/>
      <c r="E40" s="284"/>
      <c r="F40" s="63">
        <v>0</v>
      </c>
      <c r="G40" s="49">
        <v>0</v>
      </c>
      <c r="H40" s="54">
        <v>0</v>
      </c>
      <c r="I40" s="53">
        <f ca="1">IF(T24=0,0,$N$10*$C$10)</f>
        <v>253132.19400000002</v>
      </c>
      <c r="J40" s="49">
        <f ca="1">IF(U24=0,0,$N$10*$C$10)</f>
        <v>253132.19400000002</v>
      </c>
      <c r="K40" s="55">
        <f ca="1">IF(V24=0,0,$N$10*$C$10)</f>
        <v>0</v>
      </c>
      <c r="L40" s="227"/>
      <c r="M40" s="186"/>
      <c r="N40" s="242"/>
      <c r="O40" s="242"/>
      <c r="P40" s="242"/>
      <c r="Q40" s="17"/>
      <c r="R40" s="17"/>
      <c r="S40" s="17"/>
      <c r="T40" s="17"/>
      <c r="U40" s="17"/>
      <c r="V40" s="17"/>
      <c r="W40" s="17"/>
      <c r="X40" s="17"/>
      <c r="Y40" s="17"/>
      <c r="Z40" s="17"/>
    </row>
    <row r="41" spans="1:26" ht="13.9" customHeight="1" thickBot="1" x14ac:dyDescent="0.3">
      <c r="A41" s="17"/>
      <c r="B41" s="234"/>
      <c r="C41" s="280" t="s">
        <v>66</v>
      </c>
      <c r="D41" s="281"/>
      <c r="E41" s="282"/>
      <c r="F41" s="64">
        <f t="shared" ref="F41:K41" ca="1" si="7">SUM(F39:F40)</f>
        <v>0</v>
      </c>
      <c r="G41" s="56">
        <f t="shared" ca="1" si="7"/>
        <v>0</v>
      </c>
      <c r="H41" s="57">
        <f t="shared" ca="1" si="7"/>
        <v>0</v>
      </c>
      <c r="I41" s="58">
        <f t="shared" ca="1" si="7"/>
        <v>253132.19400000002</v>
      </c>
      <c r="J41" s="56">
        <f t="shared" ca="1" si="7"/>
        <v>253132.19400000002</v>
      </c>
      <c r="K41" s="59">
        <f t="shared" ca="1" si="7"/>
        <v>0</v>
      </c>
      <c r="L41" s="227"/>
      <c r="M41" s="186"/>
      <c r="N41" s="242"/>
      <c r="O41" s="242"/>
      <c r="P41" s="242"/>
      <c r="Q41" s="17"/>
      <c r="R41" s="17"/>
      <c r="S41" s="17"/>
      <c r="T41" s="17"/>
      <c r="U41" s="17"/>
      <c r="V41" s="17"/>
      <c r="W41" s="17"/>
      <c r="X41" s="17"/>
      <c r="Y41" s="17"/>
      <c r="Z41" s="17"/>
    </row>
    <row r="42" spans="1:26" ht="13.9" customHeight="1" x14ac:dyDescent="0.25">
      <c r="A42" s="17"/>
      <c r="B42" s="17"/>
      <c r="C42" s="226"/>
      <c r="D42" s="266"/>
      <c r="E42" s="226"/>
      <c r="F42" s="17"/>
      <c r="G42" s="17"/>
      <c r="H42" s="227"/>
      <c r="I42" s="227"/>
      <c r="J42" s="227"/>
      <c r="K42" s="227"/>
      <c r="L42" s="227"/>
      <c r="M42" s="186"/>
      <c r="N42" s="17"/>
      <c r="O42" s="17"/>
      <c r="P42" s="17"/>
      <c r="Q42" s="17"/>
      <c r="R42" s="17"/>
      <c r="S42" s="17"/>
      <c r="T42" s="17"/>
      <c r="U42" s="17"/>
      <c r="V42" s="17"/>
      <c r="W42" s="17"/>
      <c r="X42" s="17"/>
      <c r="Y42" s="17"/>
      <c r="Z42" s="17"/>
    </row>
    <row r="43" spans="1:26" x14ac:dyDescent="0.25">
      <c r="B43" s="272" t="s">
        <v>161</v>
      </c>
      <c r="C43" s="274"/>
      <c r="D43" s="275"/>
      <c r="E43" s="275"/>
      <c r="F43" s="275"/>
      <c r="G43" s="275"/>
      <c r="H43" s="275"/>
      <c r="I43" s="275"/>
      <c r="J43" s="275"/>
      <c r="K43" s="276"/>
    </row>
    <row r="44" spans="1:26" x14ac:dyDescent="0.25">
      <c r="B44" s="273"/>
      <c r="C44" s="277"/>
      <c r="D44" s="278"/>
      <c r="E44" s="278"/>
      <c r="F44" s="278"/>
      <c r="G44" s="278"/>
      <c r="H44" s="278"/>
      <c r="I44" s="278"/>
      <c r="J44" s="278"/>
      <c r="K44" s="279"/>
    </row>
  </sheetData>
  <sheetProtection sheet="1" objects="1" scenarios="1"/>
  <mergeCells count="22">
    <mergeCell ref="I12:K14"/>
    <mergeCell ref="B6:C6"/>
    <mergeCell ref="D37:E37"/>
    <mergeCell ref="I17:K18"/>
    <mergeCell ref="C29:E30"/>
    <mergeCell ref="I27:K27"/>
    <mergeCell ref="F27:H27"/>
    <mergeCell ref="C16:E18"/>
    <mergeCell ref="I28:K28"/>
    <mergeCell ref="F28:H28"/>
    <mergeCell ref="B15:E15"/>
    <mergeCell ref="B14:C14"/>
    <mergeCell ref="F30:H30"/>
    <mergeCell ref="I30:K30"/>
    <mergeCell ref="I29:K29"/>
    <mergeCell ref="F29:H29"/>
    <mergeCell ref="B43:B44"/>
    <mergeCell ref="C43:K44"/>
    <mergeCell ref="C41:E41"/>
    <mergeCell ref="C38:E38"/>
    <mergeCell ref="C39:E39"/>
    <mergeCell ref="C40:E40"/>
  </mergeCells>
  <conditionalFormatting sqref="C35:E36">
    <cfRule type="cellIs" dxfId="29" priority="11" operator="equal">
      <formula>0</formula>
    </cfRule>
  </conditionalFormatting>
  <conditionalFormatting sqref="C32:K34">
    <cfRule type="cellIs" dxfId="28" priority="1" operator="equal">
      <formula>0</formula>
    </cfRule>
  </conditionalFormatting>
  <conditionalFormatting sqref="F35:K35">
    <cfRule type="cellIs" dxfId="27" priority="10" operator="equal">
      <formula>0</formula>
    </cfRule>
  </conditionalFormatting>
  <conditionalFormatting sqref="F36:K36">
    <cfRule type="cellIs" dxfId="26" priority="2" operator="equal">
      <formula>"-"</formula>
    </cfRule>
  </conditionalFormatting>
  <conditionalFormatting sqref="F37:K37">
    <cfRule type="containsText" dxfId="24" priority="8" operator="containsText" text="Should">
      <formula>NOT(ISERROR(SEARCH("Should",F37)))</formula>
    </cfRule>
    <cfRule type="containsText" dxfId="23" priority="9" operator="containsText" text="Complete">
      <formula>NOT(ISERROR(SEARCH("Complete",F37)))</formula>
    </cfRule>
  </conditionalFormatting>
  <conditionalFormatting sqref="F39:K41">
    <cfRule type="cellIs" dxfId="22" priority="6" operator="equal">
      <formula>0</formula>
    </cfRule>
  </conditionalFormatting>
  <dataValidations count="2">
    <dataValidation type="whole" operator="greaterThan" allowBlank="1" showInputMessage="1" showErrorMessage="1" error="Please enter a number greater than or equal to zero." sqref="H9" xr:uid="{217D8E79-4C64-4069-9BA2-84F9BDAEFCF3}">
      <formula1>0</formula1>
    </dataValidation>
    <dataValidation type="whole" allowBlank="1" showInputMessage="1" showErrorMessage="1" error="Please enter a whole number of units." sqref="F32:K35" xr:uid="{8209442E-EF25-43B3-9B27-D73C0E751FBC}">
      <formula1>0</formula1>
      <formula2>1000</formula2>
    </dataValidation>
  </dataValidations>
  <pageMargins left="0.7" right="0.7" top="0.75" bottom="0.75" header="0.3" footer="0.3"/>
  <pageSetup scale="75" orientation="landscape" r:id="rId1"/>
  <headerFooter>
    <oddHeader>&amp;R&amp;D</oddHeader>
  </headerFooter>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F8E7A866-FEB1-4B2F-AABB-E53EFA636FD1}">
            <xm:f>NOT(ISERROR(SEARCH("-",C19)))</xm:f>
            <xm:f>"-"</xm:f>
            <x14:dxf>
              <font>
                <color theme="0" tint="-0.24994659260841701"/>
              </font>
              <fill>
                <patternFill>
                  <bgColor theme="0" tint="-4.9989318521683403E-2"/>
                </patternFill>
              </fill>
            </x14:dxf>
          </x14:cfRule>
          <xm:sqref>C19:E25 D26:E26 C27 C31:K31</xm:sqref>
        </x14:conditionalFormatting>
        <x14:conditionalFormatting xmlns:xm="http://schemas.microsoft.com/office/excel/2006/main">
          <x14:cfRule type="containsText" priority="7" operator="containsText" id="{20907B9E-DC1A-45D6-A5DA-D181AD000F91}">
            <xm:f>NOT(ISERROR(SEARCH("-",F37)))</xm:f>
            <xm:f>"-"</xm:f>
            <x14:dxf>
              <font>
                <color theme="0" tint="-0.24994659260841701"/>
              </font>
              <fill>
                <patternFill>
                  <bgColor theme="0" tint="-4.9989318521683403E-2"/>
                </patternFill>
              </fill>
            </x14:dxf>
          </x14:cfRule>
          <xm:sqref>F37:K37</xm:sqref>
        </x14:conditionalFormatting>
        <x14:conditionalFormatting xmlns:xm="http://schemas.microsoft.com/office/excel/2006/main">
          <x14:cfRule type="containsText" priority="5" operator="containsText" id="{A66A0D7F-3580-4126-BDCE-3F6CDA1AE62C}">
            <xm:f>NOT(ISERROR(SEARCH("-",I19)))</xm:f>
            <xm:f>"-"</xm:f>
            <x14:dxf>
              <font>
                <color theme="0" tint="-0.24994659260841701"/>
              </font>
              <fill>
                <patternFill>
                  <bgColor theme="0" tint="-4.9989318521683403E-2"/>
                </patternFill>
              </fill>
            </x14:dxf>
          </x14:cfRule>
          <xm:sqref>I19:K19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D547F1C-F3CF-4262-955D-2C7784DF5BE3}">
          <x14:formula1>
            <xm:f>'Data Tables'!$B$9:$B$13</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A18C-F8D5-49D6-9110-773509F19A10}">
  <sheetPr>
    <tabColor theme="9" tint="0.79998168889431442"/>
    <pageSetUpPr fitToPage="1"/>
  </sheetPr>
  <dimension ref="A1:Z44"/>
  <sheetViews>
    <sheetView showGridLines="0" zoomScaleNormal="100" zoomScaleSheetLayoutView="90" workbookViewId="0">
      <selection activeCell="E5" sqref="E5"/>
    </sheetView>
  </sheetViews>
  <sheetFormatPr defaultColWidth="9.28515625" defaultRowHeight="13.5" x14ac:dyDescent="0.25"/>
  <cols>
    <col min="1" max="1" width="2.7109375" style="1" customWidth="1"/>
    <col min="2" max="2" width="28.7109375" style="3" customWidth="1"/>
    <col min="3" max="4" width="10.28515625" style="1" customWidth="1"/>
    <col min="5" max="5" width="10.28515625" style="6" customWidth="1"/>
    <col min="6" max="9" width="16.7109375" style="6" customWidth="1"/>
    <col min="10" max="10" width="16.7109375" style="7" customWidth="1"/>
    <col min="11" max="11" width="16.7109375" style="1" customWidth="1"/>
    <col min="12" max="12" width="9.28515625" style="1"/>
    <col min="13" max="13" width="22.7109375" style="1" hidden="1" customWidth="1"/>
    <col min="14" max="24" width="9.28515625" style="1" hidden="1" customWidth="1"/>
    <col min="25" max="25" width="0" style="1" hidden="1" customWidth="1"/>
    <col min="26" max="16384" width="9.28515625" style="1"/>
  </cols>
  <sheetData>
    <row r="1" spans="1:14" ht="15" customHeight="1" x14ac:dyDescent="0.25">
      <c r="A1" s="17"/>
      <c r="B1" s="226"/>
      <c r="C1" s="17"/>
      <c r="D1" s="17"/>
      <c r="E1" s="227"/>
      <c r="F1" s="227"/>
      <c r="G1" s="227"/>
      <c r="H1" s="227"/>
      <c r="I1" s="227"/>
      <c r="J1" s="186"/>
      <c r="K1" s="17"/>
      <c r="L1" s="17"/>
      <c r="M1" s="17"/>
      <c r="N1" s="17"/>
    </row>
    <row r="2" spans="1:14" ht="15" customHeight="1" thickBot="1" x14ac:dyDescent="0.35">
      <c r="A2" s="17"/>
      <c r="B2" s="8" t="s">
        <v>25</v>
      </c>
      <c r="C2" s="228"/>
      <c r="D2" s="228"/>
      <c r="E2" s="229"/>
      <c r="F2" s="229"/>
      <c r="G2" s="229"/>
      <c r="H2" s="229"/>
      <c r="I2" s="229"/>
      <c r="J2" s="230"/>
      <c r="K2" s="228"/>
      <c r="L2" s="17"/>
      <c r="M2" s="17"/>
      <c r="N2" s="17"/>
    </row>
    <row r="3" spans="1:14" ht="15" customHeight="1" x14ac:dyDescent="0.3">
      <c r="A3" s="17"/>
      <c r="B3" s="205" t="s">
        <v>67</v>
      </c>
      <c r="C3" s="17"/>
      <c r="D3" s="17"/>
      <c r="E3" s="227"/>
      <c r="F3" s="227"/>
      <c r="G3" s="227"/>
      <c r="H3" s="227"/>
      <c r="I3" s="227"/>
      <c r="J3" s="186"/>
      <c r="K3" s="17"/>
      <c r="L3" s="17"/>
      <c r="M3" s="17"/>
      <c r="N3" s="17"/>
    </row>
    <row r="4" spans="1:14" ht="15" customHeight="1" x14ac:dyDescent="0.25">
      <c r="A4" s="17"/>
      <c r="B4" s="226"/>
      <c r="C4" s="17"/>
      <c r="D4" s="17"/>
      <c r="E4" s="227"/>
      <c r="F4" s="227"/>
      <c r="G4" s="227"/>
      <c r="H4" s="227"/>
      <c r="I4" s="227"/>
      <c r="J4" s="186"/>
      <c r="K4" s="17"/>
      <c r="L4" s="17"/>
      <c r="M4" s="17"/>
      <c r="N4" s="17"/>
    </row>
    <row r="5" spans="1:14" ht="15" customHeight="1" thickBot="1" x14ac:dyDescent="0.35">
      <c r="A5" s="17"/>
      <c r="B5" s="268" t="s">
        <v>27</v>
      </c>
      <c r="C5" s="269"/>
      <c r="D5" s="17"/>
      <c r="E5" s="227"/>
      <c r="F5" s="227"/>
      <c r="G5" s="227"/>
      <c r="H5" s="227"/>
      <c r="I5" s="227"/>
      <c r="J5" s="186"/>
      <c r="K5" s="17"/>
      <c r="L5" s="17"/>
      <c r="M5" s="46" t="s">
        <v>28</v>
      </c>
      <c r="N5" s="17">
        <f>VLOOKUP('Worksheet for OWNERSHIP'!$B$6,'Data Tables'!$B$9:$C$13,2,FALSE)</f>
        <v>1</v>
      </c>
    </row>
    <row r="6" spans="1:14" ht="15" customHeight="1" x14ac:dyDescent="0.25">
      <c r="A6" s="46"/>
      <c r="B6" s="287" t="s">
        <v>86</v>
      </c>
      <c r="C6" s="287"/>
      <c r="D6" s="17"/>
      <c r="E6" s="227"/>
      <c r="F6" s="227"/>
      <c r="G6" s="227"/>
      <c r="H6" s="227"/>
      <c r="I6" s="227"/>
      <c r="J6" s="186"/>
      <c r="K6" s="17"/>
      <c r="L6" s="17"/>
      <c r="M6" s="44" t="s">
        <v>30</v>
      </c>
      <c r="N6" s="17">
        <f>IF('Worksheet for OWNERSHIP'!$H$9&lt;'Worksheet for OWNERSHIP'!$C$12,"None",IF('Worksheet for OWNERSHIP'!$H$9&lt;5,1,IF('Worksheet for OWNERSHIP'!$H$9&lt;30,2,3)))</f>
        <v>1</v>
      </c>
    </row>
    <row r="7" spans="1:14" ht="15" customHeight="1" x14ac:dyDescent="0.25">
      <c r="A7" s="17"/>
      <c r="B7" s="17"/>
      <c r="C7" s="17"/>
      <c r="D7" s="17"/>
      <c r="E7" s="227"/>
      <c r="F7" s="227"/>
      <c r="G7" s="227"/>
      <c r="H7" s="227"/>
      <c r="I7" s="227"/>
      <c r="J7" s="186"/>
      <c r="K7" s="17"/>
      <c r="L7" s="17"/>
      <c r="M7" s="46" t="s">
        <v>31</v>
      </c>
      <c r="N7" s="17" t="str">
        <f ca="1">OFFSET('Data Tables'!$N$22,0,(N6-1)*3)</f>
        <v>4 units/lots or fewer</v>
      </c>
    </row>
    <row r="8" spans="1:14" ht="15" customHeight="1" thickBot="1" x14ac:dyDescent="0.35">
      <c r="A8" s="17"/>
      <c r="B8" s="94" t="str">
        <f>"Inclusionary Requirement for "&amp;B6</f>
        <v>Inclusionary Requirement for Marin County</v>
      </c>
      <c r="C8" s="48"/>
      <c r="D8" s="48"/>
      <c r="E8" s="227"/>
      <c r="F8" s="227"/>
      <c r="G8" s="227"/>
      <c r="H8" s="227"/>
      <c r="I8" s="227"/>
      <c r="J8" s="186"/>
      <c r="K8" s="17"/>
      <c r="L8" s="17"/>
      <c r="M8" s="46" t="s">
        <v>32</v>
      </c>
      <c r="N8" s="232">
        <f>ROUNDUP('Worksheet for OWNERSHIP'!H11,0)</f>
        <v>1</v>
      </c>
    </row>
    <row r="9" spans="1:14" ht="15" customHeight="1" thickTop="1" x14ac:dyDescent="0.25">
      <c r="A9" s="46"/>
      <c r="B9" s="50" t="s">
        <v>33</v>
      </c>
      <c r="C9" s="340">
        <f>VLOOKUP($B$6,'Policy Parameters'!$B$5:$H$9,5,FALSE)</f>
        <v>0.2</v>
      </c>
      <c r="D9" s="341"/>
      <c r="E9" s="254"/>
      <c r="F9" s="153" t="s">
        <v>34</v>
      </c>
      <c r="G9" s="152"/>
      <c r="H9" s="255">
        <v>3</v>
      </c>
      <c r="I9" s="218" t="s">
        <v>69</v>
      </c>
      <c r="J9" s="118"/>
      <c r="K9" s="256" t="s">
        <v>72</v>
      </c>
      <c r="L9" s="257"/>
      <c r="M9" s="44" t="s">
        <v>35</v>
      </c>
      <c r="N9" s="232">
        <f>IF($N$11,0,ROUNDDOWN('Worksheet for OWNERSHIP'!H11,0))</f>
        <v>0</v>
      </c>
    </row>
    <row r="10" spans="1:14" ht="15" customHeight="1" x14ac:dyDescent="0.25">
      <c r="A10" s="17"/>
      <c r="B10" s="338" t="s">
        <v>36</v>
      </c>
      <c r="C10" s="154" t="s">
        <v>71</v>
      </c>
      <c r="D10" s="65" t="s">
        <v>72</v>
      </c>
      <c r="E10" s="234"/>
      <c r="F10" s="151" t="s">
        <v>37</v>
      </c>
      <c r="G10" s="149"/>
      <c r="H10" s="258">
        <f>$C$9</f>
        <v>0.2</v>
      </c>
      <c r="I10" s="195" t="s">
        <v>36</v>
      </c>
      <c r="J10" s="130"/>
      <c r="K10" s="259">
        <f>IF($K$9="Condo",$D$11,$C$11)</f>
        <v>421886.99</v>
      </c>
      <c r="L10" s="17"/>
      <c r="M10" s="44" t="s">
        <v>39</v>
      </c>
      <c r="N10" s="239">
        <f>IF($N$11,0,'Worksheet for OWNERSHIP'!H11-N9)</f>
        <v>0.60000000000000009</v>
      </c>
    </row>
    <row r="11" spans="1:14" ht="15" customHeight="1" x14ac:dyDescent="0.25">
      <c r="A11" s="17"/>
      <c r="B11" s="339"/>
      <c r="C11" s="260">
        <f>VLOOKUP($B$6,'Policy Parameters'!$B$5:$H$9,6,FALSE)</f>
        <v>421886.99</v>
      </c>
      <c r="D11" s="261">
        <f>VLOOKUP($B$6,'Policy Parameters'!$B$5:$H$9,7,FALSE)</f>
        <v>421886.99</v>
      </c>
      <c r="E11" s="234"/>
      <c r="F11" s="151" t="str">
        <f>"Number of Units * Incl. Percent"</f>
        <v>Number of Units * Incl. Percent</v>
      </c>
      <c r="G11" s="150"/>
      <c r="H11" s="147">
        <f>H9*H10</f>
        <v>0.60000000000000009</v>
      </c>
      <c r="I11" s="196" t="s">
        <v>41</v>
      </c>
      <c r="J11" s="150"/>
      <c r="K11" s="238">
        <f>K10*H11</f>
        <v>253132.19400000002</v>
      </c>
      <c r="L11" s="17"/>
      <c r="M11" s="46" t="s">
        <v>42</v>
      </c>
      <c r="N11" s="17" t="b">
        <f>AND('Worksheet for OWNERSHIP'!$B$6="Marin County",'Worksheet for OWNERSHIP'!$H$9&gt;=4)</f>
        <v>0</v>
      </c>
    </row>
    <row r="12" spans="1:14" ht="15" customHeight="1" x14ac:dyDescent="0.25">
      <c r="A12" s="17"/>
      <c r="B12" s="198" t="s">
        <v>40</v>
      </c>
      <c r="C12" s="342">
        <f>VLOOKUP($B$6,'Policy Parameters'!$B$5:$H$9,2,FALSE)</f>
        <v>2</v>
      </c>
      <c r="D12" s="343"/>
      <c r="E12" s="234"/>
      <c r="F12" s="227"/>
      <c r="G12" s="227"/>
      <c r="H12" s="227"/>
      <c r="I12" s="285" t="s">
        <v>43</v>
      </c>
      <c r="J12" s="285"/>
      <c r="K12" s="285"/>
      <c r="L12" s="17"/>
      <c r="M12" s="46" t="s">
        <v>44</v>
      </c>
      <c r="N12" s="17" t="b">
        <f>N8=N9</f>
        <v>0</v>
      </c>
    </row>
    <row r="13" spans="1:14" ht="15" customHeight="1" x14ac:dyDescent="0.25">
      <c r="A13" s="17"/>
      <c r="B13" s="46"/>
      <c r="C13" s="17"/>
      <c r="D13" s="17"/>
      <c r="E13" s="262"/>
      <c r="F13" s="227"/>
      <c r="G13" s="227"/>
      <c r="H13" s="227"/>
      <c r="I13" s="285"/>
      <c r="J13" s="285"/>
      <c r="K13" s="285"/>
      <c r="L13" s="17"/>
      <c r="M13" s="46" t="s">
        <v>45</v>
      </c>
      <c r="N13" s="17" t="b">
        <f>OR($N$11,$N$12)</f>
        <v>0</v>
      </c>
    </row>
    <row r="14" spans="1:14" ht="21" customHeight="1" thickBot="1" x14ac:dyDescent="0.35">
      <c r="A14" s="46"/>
      <c r="B14" s="311" t="s">
        <v>46</v>
      </c>
      <c r="C14" s="311"/>
      <c r="D14" s="207"/>
      <c r="E14" s="207"/>
      <c r="F14" s="207"/>
      <c r="G14" s="207"/>
      <c r="H14" s="207"/>
      <c r="I14" s="286"/>
      <c r="J14" s="286"/>
      <c r="K14" s="286"/>
      <c r="L14" s="17"/>
      <c r="M14" s="17"/>
      <c r="N14" s="17"/>
    </row>
    <row r="15" spans="1:14" ht="15" customHeight="1" thickTop="1" thickBot="1" x14ac:dyDescent="0.3">
      <c r="A15" s="17"/>
      <c r="B15" s="310"/>
      <c r="C15" s="310"/>
      <c r="D15" s="310"/>
      <c r="E15" s="310"/>
      <c r="F15" s="47"/>
      <c r="G15" s="47"/>
      <c r="H15" s="47"/>
      <c r="I15" s="227"/>
      <c r="J15" s="186"/>
      <c r="K15" s="17"/>
      <c r="L15" s="17"/>
      <c r="M15" s="17"/>
      <c r="N15" s="17"/>
    </row>
    <row r="16" spans="1:14" ht="15" customHeight="1" x14ac:dyDescent="0.25">
      <c r="A16" s="17"/>
      <c r="B16" s="17"/>
      <c r="C16" s="299" t="str">
        <f ca="1">"Onsite Percentage by Income Group for Developments of "&amp;$N$7</f>
        <v>Onsite Percentage by Income Group for Developments of 4 units/lots or fewer</v>
      </c>
      <c r="D16" s="300"/>
      <c r="E16" s="301"/>
      <c r="F16" s="227"/>
      <c r="G16" s="227"/>
      <c r="H16" s="227"/>
      <c r="I16" s="227"/>
      <c r="J16" s="186"/>
      <c r="K16" s="17"/>
      <c r="L16" s="17"/>
      <c r="M16" s="17"/>
      <c r="N16" s="17"/>
    </row>
    <row r="17" spans="1:26" ht="15" customHeight="1" x14ac:dyDescent="0.25">
      <c r="A17" s="17"/>
      <c r="B17" s="17"/>
      <c r="C17" s="302"/>
      <c r="D17" s="303"/>
      <c r="E17" s="304"/>
      <c r="F17" s="227"/>
      <c r="G17" s="227"/>
      <c r="H17" s="227"/>
      <c r="I17" s="289"/>
      <c r="J17" s="289"/>
      <c r="K17" s="289"/>
      <c r="L17" s="17"/>
      <c r="M17" s="17"/>
      <c r="N17" s="17"/>
      <c r="O17" s="17"/>
      <c r="P17" s="17"/>
      <c r="Q17" s="17"/>
      <c r="R17" s="17"/>
      <c r="S17" s="17"/>
      <c r="T17" s="17"/>
      <c r="U17" s="17"/>
      <c r="V17" s="17"/>
      <c r="W17" s="17"/>
      <c r="X17" s="17"/>
      <c r="Y17" s="17"/>
      <c r="Z17" s="17"/>
    </row>
    <row r="18" spans="1:26" ht="15" customHeight="1" x14ac:dyDescent="0.25">
      <c r="A18" s="17"/>
      <c r="B18" s="226"/>
      <c r="C18" s="302"/>
      <c r="D18" s="303"/>
      <c r="E18" s="304"/>
      <c r="F18" s="227"/>
      <c r="G18" s="227"/>
      <c r="H18" s="227"/>
      <c r="I18" s="289"/>
      <c r="J18" s="289"/>
      <c r="K18" s="289"/>
      <c r="L18" s="17"/>
      <c r="M18" s="17"/>
      <c r="N18" s="17"/>
      <c r="O18" s="17"/>
      <c r="P18" s="17"/>
      <c r="Q18" s="17"/>
      <c r="R18" s="17"/>
      <c r="S18" s="17"/>
      <c r="T18" s="17"/>
      <c r="U18" s="17"/>
      <c r="V18" s="17"/>
      <c r="W18" s="17"/>
      <c r="X18" s="17"/>
      <c r="Y18" s="17"/>
      <c r="Z18" s="17"/>
    </row>
    <row r="19" spans="1:26" ht="15" customHeight="1" x14ac:dyDescent="0.25">
      <c r="A19" s="17"/>
      <c r="B19" s="50" t="s">
        <v>47</v>
      </c>
      <c r="C19" s="92" t="str">
        <f ca="1">IF('Worksheet for OWNERSHIP'!N24=0,"-","A")</f>
        <v>A</v>
      </c>
      <c r="D19" s="91" t="str">
        <f ca="1">IF('Worksheet for OWNERSHIP'!O24=0,"-","B")</f>
        <v>-</v>
      </c>
      <c r="E19" s="68" t="str">
        <f ca="1">IF('Worksheet for OWNERSHIP'!P24=0,"-","C")</f>
        <v>-</v>
      </c>
      <c r="F19" s="227"/>
      <c r="G19" s="227"/>
      <c r="H19" s="227"/>
      <c r="I19" s="188"/>
      <c r="J19" s="189"/>
      <c r="K19" s="192"/>
      <c r="L19" s="17"/>
      <c r="M19" s="186"/>
      <c r="N19" s="120" t="s">
        <v>48</v>
      </c>
      <c r="O19" s="121" t="s">
        <v>49</v>
      </c>
      <c r="P19" s="121" t="s">
        <v>50</v>
      </c>
      <c r="Q19" s="120" t="s">
        <v>48</v>
      </c>
      <c r="R19" s="121" t="s">
        <v>49</v>
      </c>
      <c r="S19" s="121" t="s">
        <v>50</v>
      </c>
      <c r="T19" s="120" t="s">
        <v>48</v>
      </c>
      <c r="U19" s="121" t="s">
        <v>49</v>
      </c>
      <c r="V19" s="121" t="s">
        <v>50</v>
      </c>
      <c r="W19" s="17"/>
      <c r="X19" s="17"/>
      <c r="Y19" s="17"/>
      <c r="Z19" s="17"/>
    </row>
    <row r="20" spans="1:26" ht="15" customHeight="1" x14ac:dyDescent="0.25">
      <c r="A20" s="17"/>
      <c r="B20" s="51" t="s">
        <v>52</v>
      </c>
      <c r="C20" s="60" t="str">
        <f ca="1">IF(AND('Worksheet for OWNERSHIP'!Q20&gt;0,ISNUMBER('Worksheet for OWNERSHIP'!Q20)),'Worksheet for OWNERSHIP'!Q20,"-")</f>
        <v>-</v>
      </c>
      <c r="D20" s="61" t="str">
        <f ca="1">IF(AND('Worksheet for OWNERSHIP'!R20&gt;0,ISNUMBER('Worksheet for OWNERSHIP'!R20)),'Worksheet for OWNERSHIP'!R20,"-")</f>
        <v>-</v>
      </c>
      <c r="E20" s="62" t="str">
        <f ca="1">IF(AND('Worksheet for OWNERSHIP'!S20&gt;0,ISNUMBER('Worksheet for OWNERSHIP'!S20)),'Worksheet for OWNERSHIP'!S20,"-")</f>
        <v>-</v>
      </c>
      <c r="F20" s="227"/>
      <c r="G20" s="227"/>
      <c r="H20" s="227"/>
      <c r="I20" s="190"/>
      <c r="J20" s="190"/>
      <c r="K20" s="190"/>
      <c r="L20" s="17"/>
      <c r="M20" s="186"/>
      <c r="N20" s="242">
        <f t="shared" ref="N20:P23" ca="1" si="0">IF(Q20="n/a",0,Q20)</f>
        <v>0</v>
      </c>
      <c r="O20" s="242">
        <f t="shared" ca="1" si="0"/>
        <v>0</v>
      </c>
      <c r="P20" s="242">
        <f t="shared" ca="1" si="0"/>
        <v>0</v>
      </c>
      <c r="Q20" s="242">
        <f ca="1">OFFSET('Data Tables'!N25,0,('Worksheet for OWNERSHIP'!$N$6-1)*3)</f>
        <v>0</v>
      </c>
      <c r="R20" s="242" t="str">
        <f ca="1">OFFSET('Data Tables'!O25,0,('Worksheet for OWNERSHIP'!$N$6-1)*3)</f>
        <v>n/a</v>
      </c>
      <c r="S20" s="242" t="str">
        <f ca="1">OFFSET('Data Tables'!P25,0,('Worksheet for OWNERSHIP'!$N$6-1)*3)</f>
        <v>n/a</v>
      </c>
      <c r="T20" s="243">
        <f ca="1">IF(ISNUMBER(Q20*'Worksheet for OWNERSHIP'!$H$9),Q20*'Worksheet for OWNERSHIP'!$H$9,0)</f>
        <v>0</v>
      </c>
      <c r="U20" s="243">
        <f ca="1">IF(ISNUMBER(R20*'Worksheet for OWNERSHIP'!$H$9),R20*'Worksheet for OWNERSHIP'!$H$9,0)</f>
        <v>0</v>
      </c>
      <c r="V20" s="243">
        <f ca="1">IF(ISNUMBER(S20*'Worksheet for OWNERSHIP'!$H$9),S20*'Worksheet for OWNERSHIP'!$H$9,0)</f>
        <v>0</v>
      </c>
      <c r="W20" s="17"/>
      <c r="X20" s="17"/>
      <c r="Y20" s="17"/>
      <c r="Z20" s="17"/>
    </row>
    <row r="21" spans="1:26" ht="15" customHeight="1" x14ac:dyDescent="0.25">
      <c r="A21" s="17"/>
      <c r="B21" s="52" t="s">
        <v>53</v>
      </c>
      <c r="C21" s="60" t="str">
        <f ca="1">IF(AND('Worksheet for OWNERSHIP'!Q21&gt;0,ISNUMBER('Worksheet for OWNERSHIP'!Q21)),'Worksheet for OWNERSHIP'!Q21,"-")</f>
        <v>-</v>
      </c>
      <c r="D21" s="61" t="str">
        <f ca="1">IF(AND('Worksheet for OWNERSHIP'!R21&gt;0,ISNUMBER('Worksheet for OWNERSHIP'!R21)),'Worksheet for OWNERSHIP'!R21,"-")</f>
        <v>-</v>
      </c>
      <c r="E21" s="62" t="str">
        <f ca="1">IF(AND('Worksheet for OWNERSHIP'!S21&gt;0,ISNUMBER('Worksheet for OWNERSHIP'!S21)),'Worksheet for OWNERSHIP'!S21,"-")</f>
        <v>-</v>
      </c>
      <c r="F21" s="227"/>
      <c r="G21" s="227"/>
      <c r="H21" s="227"/>
      <c r="I21" s="190"/>
      <c r="J21" s="190"/>
      <c r="K21" s="190"/>
      <c r="L21" s="227"/>
      <c r="M21" s="186"/>
      <c r="N21" s="242">
        <f t="shared" ca="1" si="0"/>
        <v>0</v>
      </c>
      <c r="O21" s="242">
        <f t="shared" ca="1" si="0"/>
        <v>0</v>
      </c>
      <c r="P21" s="242">
        <f t="shared" ca="1" si="0"/>
        <v>0</v>
      </c>
      <c r="Q21" s="242">
        <f ca="1">OFFSET('Data Tables'!N26,0,('Worksheet for OWNERSHIP'!$N$6-1)*3)</f>
        <v>0</v>
      </c>
      <c r="R21" s="242" t="str">
        <f ca="1">OFFSET('Data Tables'!O26,0,('Worksheet for OWNERSHIP'!$N$6-1)*3)</f>
        <v>n/a</v>
      </c>
      <c r="S21" s="242" t="str">
        <f ca="1">OFFSET('Data Tables'!P26,0,('Worksheet for OWNERSHIP'!$N$6-1)*3)</f>
        <v>n/a</v>
      </c>
      <c r="T21" s="243">
        <f ca="1">IF(ISNUMBER(Q21*'Worksheet for OWNERSHIP'!$H$9),Q21*'Worksheet for OWNERSHIP'!$H$9,0)</f>
        <v>0</v>
      </c>
      <c r="U21" s="243">
        <f ca="1">IF(ISNUMBER(R21*'Worksheet for OWNERSHIP'!$H$9),R21*'Worksheet for OWNERSHIP'!$H$9,0)</f>
        <v>0</v>
      </c>
      <c r="V21" s="243">
        <f ca="1">IF(ISNUMBER(S21*'Worksheet for OWNERSHIP'!$H$9),S21*'Worksheet for OWNERSHIP'!$H$9,0)</f>
        <v>0</v>
      </c>
      <c r="W21" s="17"/>
      <c r="X21" s="17">
        <f ca="1">MATCH(LARGE($V$20:$V$23,1),$V$20:$V$23,0)</f>
        <v>1</v>
      </c>
      <c r="Y21" s="17"/>
      <c r="Z21" s="17"/>
    </row>
    <row r="22" spans="1:26" ht="15" customHeight="1" x14ac:dyDescent="0.25">
      <c r="A22" s="17"/>
      <c r="B22" s="51" t="s">
        <v>76</v>
      </c>
      <c r="C22" s="60">
        <f ca="1">IF(AND('Worksheet for OWNERSHIP'!Q22&gt;0,ISNUMBER('Worksheet for OWNERSHIP'!Q22)),'Worksheet for OWNERSHIP'!Q22,"-")</f>
        <v>0.2</v>
      </c>
      <c r="D22" s="61" t="str">
        <f ca="1">IF(AND('Worksheet for OWNERSHIP'!R22&gt;0,ISNUMBER('Worksheet for OWNERSHIP'!R22)),'Worksheet for OWNERSHIP'!R22,"-")</f>
        <v>-</v>
      </c>
      <c r="E22" s="62" t="str">
        <f ca="1">IF(AND('Worksheet for OWNERSHIP'!S22&gt;0,ISNUMBER('Worksheet for OWNERSHIP'!S22)),'Worksheet for OWNERSHIP'!S22,"-")</f>
        <v>-</v>
      </c>
      <c r="F22" s="227"/>
      <c r="G22" s="227"/>
      <c r="H22" s="227"/>
      <c r="I22" s="190"/>
      <c r="J22" s="190"/>
      <c r="K22" s="190"/>
      <c r="L22" s="227"/>
      <c r="M22" s="186"/>
      <c r="N22" s="242">
        <f t="shared" ca="1" si="0"/>
        <v>0.2</v>
      </c>
      <c r="O22" s="242">
        <f t="shared" ca="1" si="0"/>
        <v>0</v>
      </c>
      <c r="P22" s="242">
        <f t="shared" ca="1" si="0"/>
        <v>0</v>
      </c>
      <c r="Q22" s="242">
        <f ca="1">OFFSET('Data Tables'!N27,0,('Worksheet for OWNERSHIP'!$N$6-1)*3)</f>
        <v>0.2</v>
      </c>
      <c r="R22" s="242" t="str">
        <f ca="1">OFFSET('Data Tables'!O27,0,('Worksheet for OWNERSHIP'!$N$6-1)*3)</f>
        <v>n/a</v>
      </c>
      <c r="S22" s="242" t="str">
        <f ca="1">OFFSET('Data Tables'!P27,0,('Worksheet for OWNERSHIP'!$N$6-1)*3)</f>
        <v>n/a</v>
      </c>
      <c r="T22" s="243">
        <f ca="1">IF(ISNUMBER(Q22*'Worksheet for OWNERSHIP'!$H$9),Q22*'Worksheet for OWNERSHIP'!$H$9,0)</f>
        <v>0.60000000000000009</v>
      </c>
      <c r="U22" s="243">
        <f ca="1">IF(ISNUMBER(R22*'Worksheet for OWNERSHIP'!$H$9),R22*'Worksheet for OWNERSHIP'!$H$9,0)</f>
        <v>0</v>
      </c>
      <c r="V22" s="243">
        <f ca="1">IF(ISNUMBER(S22*'Worksheet for OWNERSHIP'!$H$9),S22*'Worksheet for OWNERSHIP'!$H$9,0)</f>
        <v>0</v>
      </c>
      <c r="W22" s="17"/>
      <c r="X22" s="17">
        <f ca="1">MATCH(LARGE($V$20:$V$23,2),$V$20:$V$23,0)</f>
        <v>1</v>
      </c>
      <c r="Y22" s="17"/>
      <c r="Z22" s="17"/>
    </row>
    <row r="23" spans="1:26" ht="15" customHeight="1" x14ac:dyDescent="0.25">
      <c r="A23" s="17"/>
      <c r="B23" s="51" t="s">
        <v>54</v>
      </c>
      <c r="C23" s="60" t="str">
        <f ca="1">IF(AND('Worksheet for OWNERSHIP'!Q23&gt;0,ISNUMBER('Worksheet for OWNERSHIP'!Q23)),'Worksheet for OWNERSHIP'!Q23,"-")</f>
        <v>-</v>
      </c>
      <c r="D23" s="61" t="str">
        <f ca="1">IF(AND('Worksheet for OWNERSHIP'!R23&gt;0,ISNUMBER('Worksheet for OWNERSHIP'!R23)),'Worksheet for OWNERSHIP'!R23,"-")</f>
        <v>-</v>
      </c>
      <c r="E23" s="62" t="str">
        <f ca="1">IF(AND('Worksheet for OWNERSHIP'!S23&gt;0,ISNUMBER('Worksheet for OWNERSHIP'!S23)),'Worksheet for OWNERSHIP'!S23,"-")</f>
        <v>-</v>
      </c>
      <c r="F23" s="227"/>
      <c r="G23" s="227"/>
      <c r="H23" s="227"/>
      <c r="I23" s="190"/>
      <c r="J23" s="190"/>
      <c r="K23" s="190"/>
      <c r="L23" s="227"/>
      <c r="M23" s="186"/>
      <c r="N23" s="242">
        <f t="shared" ca="1" si="0"/>
        <v>0</v>
      </c>
      <c r="O23" s="242">
        <f t="shared" ca="1" si="0"/>
        <v>0</v>
      </c>
      <c r="P23" s="242">
        <f t="shared" ca="1" si="0"/>
        <v>0</v>
      </c>
      <c r="Q23" s="242">
        <f ca="1">OFFSET('Data Tables'!N28,0,('Worksheet for OWNERSHIP'!$N$6-1)*3)</f>
        <v>0</v>
      </c>
      <c r="R23" s="242" t="str">
        <f ca="1">OFFSET('Data Tables'!O28,0,('Worksheet for OWNERSHIP'!$N$6-1)*3)</f>
        <v>n/a</v>
      </c>
      <c r="S23" s="242" t="str">
        <f ca="1">OFFSET('Data Tables'!P28,0,('Worksheet for OWNERSHIP'!$N$6-1)*3)</f>
        <v>n/a</v>
      </c>
      <c r="T23" s="243">
        <f ca="1">IF(ISNUMBER(Q23*'Worksheet for OWNERSHIP'!$H$9),Q23*'Worksheet for OWNERSHIP'!$H$9,0)</f>
        <v>0</v>
      </c>
      <c r="U23" s="243">
        <f ca="1">IF(ISNUMBER(R23*'Worksheet for OWNERSHIP'!$H$9),R23*'Worksheet for OWNERSHIP'!$H$9,0)</f>
        <v>0</v>
      </c>
      <c r="V23" s="243">
        <f ca="1">IF(ISNUMBER(S23*'Worksheet for OWNERSHIP'!$H$9),S23*'Worksheet for OWNERSHIP'!$H$9,0)</f>
        <v>0</v>
      </c>
      <c r="W23" s="17"/>
      <c r="X23" s="17">
        <f ca="1">MATCH(LARGE($V$20:$V$23,3),$V$20:$V$23,0)</f>
        <v>1</v>
      </c>
      <c r="Y23" s="17"/>
      <c r="Z23" s="17"/>
    </row>
    <row r="24" spans="1:26" ht="15" customHeight="1" thickBot="1" x14ac:dyDescent="0.3">
      <c r="A24" s="17"/>
      <c r="B24" s="45" t="s">
        <v>55</v>
      </c>
      <c r="C24" s="115">
        <f ca="1">IF(SUM(C20:C23)&gt;0,SUM(C20:C23),"-")</f>
        <v>0.2</v>
      </c>
      <c r="D24" s="116" t="str">
        <f ca="1">IF(SUM(D20:D23)&gt;0,SUM(D20:D23),"-")</f>
        <v>-</v>
      </c>
      <c r="E24" s="117" t="str">
        <f ca="1">IF(SUM(E20:E23)&gt;0,SUM(E20:E23),"-")</f>
        <v>-</v>
      </c>
      <c r="F24" s="17"/>
      <c r="G24" s="17"/>
      <c r="H24" s="17"/>
      <c r="I24" s="194"/>
      <c r="J24" s="193"/>
      <c r="K24" s="193"/>
      <c r="L24" s="227"/>
      <c r="M24" s="186"/>
      <c r="N24" s="79">
        <f t="shared" ref="N24:V24" ca="1" si="1">SUM(N20:N23)</f>
        <v>0.2</v>
      </c>
      <c r="O24" s="79">
        <f t="shared" ca="1" si="1"/>
        <v>0</v>
      </c>
      <c r="P24" s="79">
        <f t="shared" ca="1" si="1"/>
        <v>0</v>
      </c>
      <c r="Q24" s="79">
        <f t="shared" ca="1" si="1"/>
        <v>0.2</v>
      </c>
      <c r="R24" s="79">
        <f t="shared" ca="1" si="1"/>
        <v>0</v>
      </c>
      <c r="S24" s="79">
        <f t="shared" ca="1" si="1"/>
        <v>0</v>
      </c>
      <c r="T24" s="243">
        <f t="shared" ca="1" si="1"/>
        <v>0.60000000000000009</v>
      </c>
      <c r="U24" s="243">
        <f t="shared" ca="1" si="1"/>
        <v>0</v>
      </c>
      <c r="V24" s="243">
        <f t="shared" ca="1" si="1"/>
        <v>0</v>
      </c>
      <c r="W24" s="17"/>
      <c r="X24" s="17">
        <f ca="1">MATCH(LARGE($V$20:$V$23,4),$V$20:$V$23,0)</f>
        <v>1</v>
      </c>
      <c r="Y24" s="17"/>
      <c r="Z24" s="17"/>
    </row>
    <row r="25" spans="1:26" ht="15" customHeight="1" x14ac:dyDescent="0.25">
      <c r="A25" s="17"/>
      <c r="B25" s="184"/>
      <c r="C25" s="185"/>
      <c r="D25" s="185"/>
      <c r="E25" s="191"/>
      <c r="F25" s="187"/>
      <c r="G25" s="187"/>
      <c r="H25" s="187"/>
      <c r="I25" s="187"/>
      <c r="J25" s="187"/>
      <c r="K25" s="187"/>
      <c r="L25" s="227"/>
      <c r="M25" s="186"/>
      <c r="N25" s="17"/>
      <c r="O25" s="17"/>
      <c r="P25" s="17"/>
      <c r="Q25" s="17"/>
      <c r="R25" s="17"/>
      <c r="S25" s="17"/>
      <c r="T25" s="17"/>
      <c r="U25" s="17"/>
      <c r="V25" s="17"/>
      <c r="W25" s="17"/>
      <c r="X25" s="17"/>
      <c r="Y25" s="17"/>
      <c r="Z25" s="17"/>
    </row>
    <row r="26" spans="1:26" ht="15" customHeight="1" thickBot="1" x14ac:dyDescent="0.35">
      <c r="A26" s="17"/>
      <c r="B26" s="211" t="s">
        <v>56</v>
      </c>
      <c r="C26" s="17"/>
      <c r="D26" s="206"/>
      <c r="E26" s="209"/>
      <c r="F26" s="208"/>
      <c r="G26" s="187"/>
      <c r="H26" s="187"/>
      <c r="I26" s="187"/>
      <c r="J26" s="187"/>
      <c r="K26" s="187"/>
      <c r="L26" s="227"/>
      <c r="M26" s="245"/>
      <c r="N26" s="84"/>
      <c r="O26" s="84"/>
      <c r="P26" s="84"/>
      <c r="Q26" s="84"/>
      <c r="R26" s="84"/>
      <c r="S26" s="84"/>
      <c r="T26" s="246"/>
      <c r="U26" s="246"/>
      <c r="V26" s="246"/>
      <c r="W26" s="247"/>
      <c r="X26" s="247"/>
      <c r="Y26" s="17"/>
      <c r="Z26" s="17"/>
    </row>
    <row r="27" spans="1:26" ht="15" customHeight="1" x14ac:dyDescent="0.3">
      <c r="A27" s="17"/>
      <c r="B27" s="212"/>
      <c r="C27" s="210"/>
      <c r="D27" s="244"/>
      <c r="E27" s="244"/>
      <c r="F27" s="297" t="s">
        <v>57</v>
      </c>
      <c r="G27" s="295"/>
      <c r="H27" s="298"/>
      <c r="I27" s="294" t="s">
        <v>58</v>
      </c>
      <c r="J27" s="295"/>
      <c r="K27" s="296"/>
      <c r="L27" s="227"/>
      <c r="M27" s="245"/>
      <c r="N27" s="84"/>
      <c r="O27" s="84"/>
      <c r="P27" s="84"/>
      <c r="Q27" s="84"/>
      <c r="R27" s="84"/>
      <c r="S27" s="84"/>
      <c r="T27" s="246"/>
      <c r="U27" s="246"/>
      <c r="V27" s="246"/>
      <c r="W27" s="247"/>
      <c r="X27" s="247"/>
      <c r="Y27" s="17"/>
      <c r="Z27" s="17"/>
    </row>
    <row r="28" spans="1:26" ht="33" customHeight="1" thickBot="1" x14ac:dyDescent="0.3">
      <c r="A28" s="17"/>
      <c r="B28" s="17"/>
      <c r="C28" s="95"/>
      <c r="D28" s="95"/>
      <c r="E28" s="95"/>
      <c r="F28" s="308" t="str">
        <f>"Applicant provides "&amp;$N$8&amp;" affordable unit(s) onsite."</f>
        <v>Applicant provides 1 affordable unit(s) onsite.</v>
      </c>
      <c r="G28" s="306"/>
      <c r="H28" s="309"/>
      <c r="I28" s="305" t="str">
        <f>IF($N$11,"NOTE: The option to pay the in-lieu fee on fractional units is not available for projects of 4 units or more.",IF($N$12,"This option does not apply because the calculated total inclusionary units does not result in a fraction.","Applicant provides "&amp;$N$9&amp;" affordable unit(s) onsite and pays the in-lieu fee on "&amp;TEXT($N$10,"0.0000")&amp;" fractional units."))</f>
        <v>Applicant provides 0 affordable unit(s) onsite and pays the in-lieu fee on 0.6000 fractional units.</v>
      </c>
      <c r="J28" s="306"/>
      <c r="K28" s="307"/>
      <c r="L28" s="227"/>
      <c r="M28" s="186"/>
      <c r="N28" s="79"/>
      <c r="O28" s="79"/>
      <c r="P28" s="79"/>
      <c r="Q28" s="79"/>
      <c r="R28" s="79"/>
      <c r="S28" s="79"/>
      <c r="T28" s="243"/>
      <c r="U28" s="243"/>
      <c r="V28" s="243"/>
      <c r="W28" s="17"/>
      <c r="X28" s="17"/>
      <c r="Y28" s="17"/>
      <c r="Z28" s="17"/>
    </row>
    <row r="29" spans="1:26" x14ac:dyDescent="0.25">
      <c r="A29" s="17"/>
      <c r="B29" s="226"/>
      <c r="C29" s="290" t="s">
        <v>59</v>
      </c>
      <c r="D29" s="291"/>
      <c r="E29" s="291"/>
      <c r="F29" s="321" t="s">
        <v>60</v>
      </c>
      <c r="G29" s="322"/>
      <c r="H29" s="323"/>
      <c r="I29" s="318" t="str">
        <f>IF($N$13,"-","Enter whole numbers in the table below for a total of:")</f>
        <v>Enter whole numbers in the table below for a total of:</v>
      </c>
      <c r="J29" s="319"/>
      <c r="K29" s="320"/>
      <c r="L29" s="227"/>
      <c r="M29" s="186"/>
      <c r="N29" s="79"/>
      <c r="O29" s="79"/>
      <c r="P29" s="79"/>
      <c r="Q29" s="79"/>
      <c r="R29" s="79"/>
      <c r="S29" s="79"/>
      <c r="T29" s="243"/>
      <c r="U29" s="243"/>
      <c r="V29" s="243"/>
      <c r="W29" s="17"/>
      <c r="X29" s="17"/>
      <c r="Y29" s="17"/>
      <c r="Z29" s="17"/>
    </row>
    <row r="30" spans="1:26" ht="17.649999999999999" customHeight="1" x14ac:dyDescent="0.25">
      <c r="A30" s="17"/>
      <c r="B30" s="216"/>
      <c r="C30" s="292"/>
      <c r="D30" s="293"/>
      <c r="E30" s="293"/>
      <c r="F30" s="312" t="str">
        <f>$N$8&amp;" unit(s)"</f>
        <v>1 unit(s)</v>
      </c>
      <c r="G30" s="313"/>
      <c r="H30" s="314"/>
      <c r="I30" s="315" t="str">
        <f>IF($N$13,"-",$N$9&amp;" unit(s)")</f>
        <v>0 unit(s)</v>
      </c>
      <c r="J30" s="316"/>
      <c r="K30" s="317"/>
      <c r="L30" s="227"/>
      <c r="M30" s="186"/>
      <c r="N30" s="79"/>
      <c r="O30" s="79"/>
      <c r="P30" s="79"/>
      <c r="Q30" s="79"/>
      <c r="R30" s="79"/>
      <c r="S30" s="79"/>
      <c r="T30" s="243"/>
      <c r="U30" s="243"/>
      <c r="V30" s="243"/>
      <c r="W30" s="17"/>
      <c r="X30" s="17"/>
      <c r="Y30" s="247"/>
      <c r="Z30" s="247"/>
    </row>
    <row r="31" spans="1:26" ht="13.9" customHeight="1" x14ac:dyDescent="0.25">
      <c r="A31" s="17"/>
      <c r="B31" s="50" t="s">
        <v>47</v>
      </c>
      <c r="C31" s="92" t="str">
        <f ca="1">C19</f>
        <v>A</v>
      </c>
      <c r="D31" s="91" t="str">
        <f ca="1">D19</f>
        <v>-</v>
      </c>
      <c r="E31" s="202" t="str">
        <f ca="1">E19</f>
        <v>-</v>
      </c>
      <c r="F31" s="96" t="str">
        <f ca="1">C31</f>
        <v>A</v>
      </c>
      <c r="G31" s="204" t="str">
        <f ca="1">D31</f>
        <v>-</v>
      </c>
      <c r="H31" s="112" t="str">
        <f ca="1">E31</f>
        <v>-</v>
      </c>
      <c r="I31" s="97" t="str">
        <f ca="1">IF($N$13,"-",C19)</f>
        <v>A</v>
      </c>
      <c r="J31" s="97" t="str">
        <f ca="1">IF($N$13,"-",D19)</f>
        <v>-</v>
      </c>
      <c r="K31" s="203" t="str">
        <f t="shared" ref="K31" ca="1" si="2">IF($N$13,"-",E19)</f>
        <v>-</v>
      </c>
      <c r="L31" s="227"/>
      <c r="M31" s="186"/>
      <c r="N31" s="79"/>
      <c r="O31" s="79"/>
      <c r="P31" s="79"/>
      <c r="Q31" s="79"/>
      <c r="R31" s="79"/>
      <c r="S31" s="79"/>
      <c r="T31" s="243"/>
      <c r="U31" s="243"/>
      <c r="V31" s="243"/>
      <c r="W31" s="17"/>
      <c r="X31" s="17"/>
      <c r="Y31" s="247"/>
      <c r="Z31" s="247"/>
    </row>
    <row r="32" spans="1:26" s="85" customFormat="1" ht="14.65" customHeight="1" x14ac:dyDescent="0.25">
      <c r="A32" s="17"/>
      <c r="B32" s="51" t="s">
        <v>52</v>
      </c>
      <c r="C32" s="76">
        <f t="shared" ref="C32:E35" ca="1" si="3">IF(N20=0,0,T20)</f>
        <v>0</v>
      </c>
      <c r="D32" s="81">
        <f t="shared" ca="1" si="3"/>
        <v>0</v>
      </c>
      <c r="E32" s="81">
        <f t="shared" ca="1" si="3"/>
        <v>0</v>
      </c>
      <c r="F32" s="142"/>
      <c r="G32" s="123"/>
      <c r="H32" s="124"/>
      <c r="I32" s="123"/>
      <c r="J32" s="144"/>
      <c r="K32" s="145"/>
      <c r="L32" s="248"/>
      <c r="M32" s="186"/>
      <c r="N32" s="79"/>
      <c r="O32" s="79"/>
      <c r="P32" s="79"/>
      <c r="Q32" s="79"/>
      <c r="R32" s="79"/>
      <c r="S32" s="79"/>
      <c r="T32" s="243"/>
      <c r="U32" s="243"/>
      <c r="V32" s="243"/>
      <c r="W32" s="17"/>
      <c r="X32" s="17"/>
      <c r="Y32" s="17"/>
      <c r="Z32" s="17"/>
    </row>
    <row r="33" spans="1:26" s="85" customFormat="1" ht="14.65" customHeight="1" x14ac:dyDescent="0.25">
      <c r="A33" s="17"/>
      <c r="B33" s="52" t="s">
        <v>53</v>
      </c>
      <c r="C33" s="76">
        <f t="shared" ca="1" si="3"/>
        <v>0</v>
      </c>
      <c r="D33" s="182">
        <f t="shared" ca="1" si="3"/>
        <v>0</v>
      </c>
      <c r="E33" s="78">
        <f t="shared" ca="1" si="3"/>
        <v>0</v>
      </c>
      <c r="F33" s="122"/>
      <c r="G33" s="125"/>
      <c r="H33" s="126"/>
      <c r="I33" s="123"/>
      <c r="J33" s="125"/>
      <c r="K33" s="127"/>
      <c r="L33" s="248"/>
      <c r="M33" s="17"/>
      <c r="N33" s="17"/>
      <c r="O33" s="17"/>
      <c r="P33" s="17"/>
      <c r="Q33" s="242"/>
      <c r="R33" s="242"/>
      <c r="S33" s="242"/>
      <c r="T33" s="17"/>
      <c r="U33" s="17"/>
      <c r="V33" s="17"/>
      <c r="W33" s="17"/>
      <c r="X33" s="17"/>
      <c r="Y33" s="17"/>
      <c r="Z33" s="17"/>
    </row>
    <row r="34" spans="1:26" ht="13.9" customHeight="1" x14ac:dyDescent="0.25">
      <c r="A34" s="17"/>
      <c r="B34" s="51" t="s">
        <v>76</v>
      </c>
      <c r="C34" s="76">
        <f t="shared" ca="1" si="3"/>
        <v>0.60000000000000009</v>
      </c>
      <c r="D34" s="183">
        <f t="shared" ca="1" si="3"/>
        <v>0</v>
      </c>
      <c r="E34" s="183">
        <f t="shared" ca="1" si="3"/>
        <v>0</v>
      </c>
      <c r="F34" s="122"/>
      <c r="G34" s="125"/>
      <c r="H34" s="126"/>
      <c r="I34" s="123"/>
      <c r="J34" s="125"/>
      <c r="K34" s="127"/>
      <c r="L34" s="227"/>
      <c r="M34" s="186"/>
      <c r="N34" s="17"/>
      <c r="O34" s="17"/>
      <c r="P34" s="17"/>
      <c r="Q34" s="253"/>
      <c r="R34" s="253"/>
      <c r="S34" s="253"/>
      <c r="T34" s="17"/>
      <c r="U34" s="17"/>
      <c r="V34" s="17"/>
      <c r="W34" s="17"/>
      <c r="X34" s="17"/>
      <c r="Y34" s="17"/>
      <c r="Z34" s="17"/>
    </row>
    <row r="35" spans="1:26" ht="13.9" customHeight="1" x14ac:dyDescent="0.25">
      <c r="A35" s="17"/>
      <c r="B35" s="51" t="s">
        <v>54</v>
      </c>
      <c r="C35" s="76">
        <f t="shared" ca="1" si="3"/>
        <v>0</v>
      </c>
      <c r="D35" s="183">
        <f t="shared" ca="1" si="3"/>
        <v>0</v>
      </c>
      <c r="E35" s="183">
        <f t="shared" ca="1" si="3"/>
        <v>0</v>
      </c>
      <c r="F35" s="143"/>
      <c r="G35" s="123"/>
      <c r="H35" s="128"/>
      <c r="I35" s="123"/>
      <c r="J35" s="146"/>
      <c r="K35" s="129"/>
      <c r="L35" s="227"/>
      <c r="M35" s="186"/>
      <c r="N35" s="17"/>
      <c r="O35" s="17"/>
      <c r="P35" s="17"/>
      <c r="Q35" s="242"/>
      <c r="R35" s="242"/>
      <c r="S35" s="242"/>
      <c r="T35" s="46"/>
      <c r="U35" s="46"/>
      <c r="V35" s="46"/>
      <c r="W35" s="17"/>
      <c r="X35" s="17"/>
      <c r="Y35" s="17"/>
      <c r="Z35" s="17"/>
    </row>
    <row r="36" spans="1:26" ht="13.9" customHeight="1" thickBot="1" x14ac:dyDescent="0.3">
      <c r="A36" s="17"/>
      <c r="B36" s="45" t="s">
        <v>73</v>
      </c>
      <c r="C36" s="200">
        <f ca="1">SUM(C32:C35)</f>
        <v>0.60000000000000009</v>
      </c>
      <c r="D36" s="201">
        <f ca="1">SUM(D32:D35)</f>
        <v>0</v>
      </c>
      <c r="E36" s="201">
        <f ca="1">SUM(E32:E35)</f>
        <v>0</v>
      </c>
      <c r="F36" s="139">
        <f ca="1">IF(C31="-","-",SUM(F32:F35))</f>
        <v>0</v>
      </c>
      <c r="G36" s="141" t="str">
        <f ca="1">IF(D31="-","-",SUM(G32:G35))</f>
        <v>-</v>
      </c>
      <c r="H36" s="141" t="str">
        <f ca="1">IF(E31="-","-",SUM(H32:H35))</f>
        <v>-</v>
      </c>
      <c r="I36" s="157">
        <f ca="1">IF(I31="-","-",SUM(I32:I35))</f>
        <v>0</v>
      </c>
      <c r="J36" s="141" t="str">
        <f ca="1">IF(J31="-","-",SUM(J32:J35))</f>
        <v>-</v>
      </c>
      <c r="K36" s="140" t="str">
        <f ca="1">IF(K31="-","-",SUM(K32:K35))</f>
        <v>-</v>
      </c>
      <c r="L36" s="227"/>
      <c r="M36" s="186"/>
      <c r="N36" s="242"/>
      <c r="O36" s="242"/>
      <c r="P36" s="242"/>
      <c r="Q36" s="17"/>
      <c r="R36" s="17"/>
      <c r="S36" s="17"/>
      <c r="T36" s="17"/>
      <c r="U36" s="17"/>
      <c r="V36" s="17"/>
      <c r="W36" s="17"/>
      <c r="X36" s="17"/>
      <c r="Y36" s="17"/>
      <c r="Z36" s="17"/>
    </row>
    <row r="37" spans="1:26" ht="28.9" customHeight="1" x14ac:dyDescent="0.25">
      <c r="A37" s="17"/>
      <c r="B37" s="100"/>
      <c r="C37" s="199"/>
      <c r="D37" s="288" t="s">
        <v>63</v>
      </c>
      <c r="E37" s="288"/>
      <c r="F37" s="90" t="str">
        <f ca="1">IF(C31="-","-",IF(F36=$N$8,"Complete","Total units should equal "&amp;$N$8))</f>
        <v>Total units should equal 1</v>
      </c>
      <c r="G37" s="101" t="str">
        <f ca="1">IF(D31="-","-",IF(G36=$N$8,"Complete","Total units should equal "&amp;$N$8))</f>
        <v>-</v>
      </c>
      <c r="H37" s="113" t="str">
        <f ca="1">IF(E31="-","-",IF(H36=$N$8,"Complete","Total units should equal "&amp;$N$8))</f>
        <v>-</v>
      </c>
      <c r="I37" s="111" t="str">
        <f ca="1">IF(I31="-","-",IF(I36=$N$9,"Complete","Total units should equal "&amp;$N$9 ))</f>
        <v>Complete</v>
      </c>
      <c r="J37" s="101" t="str">
        <f ca="1">IF(J31="-","-",IF(J36=$N$9,"Complete","Total units should equal "&amp;$N$9 ))</f>
        <v>-</v>
      </c>
      <c r="K37" s="102" t="str">
        <f ca="1">IF(K31="-","-",IF(K36=$N$9,"Complete","Total units should equal "&amp;$N$9 ))</f>
        <v>-</v>
      </c>
      <c r="L37" s="227"/>
      <c r="M37" s="186"/>
      <c r="N37" s="242"/>
      <c r="O37" s="242"/>
      <c r="P37" s="242"/>
      <c r="Q37" s="17"/>
      <c r="R37" s="17"/>
      <c r="S37" s="17"/>
      <c r="T37" s="17"/>
      <c r="U37" s="17"/>
      <c r="V37" s="17"/>
      <c r="W37" s="17"/>
      <c r="X37" s="17"/>
      <c r="Y37" s="17"/>
      <c r="Z37" s="17"/>
    </row>
    <row r="38" spans="1:26" x14ac:dyDescent="0.25">
      <c r="A38" s="17"/>
      <c r="B38" s="234"/>
      <c r="C38" s="283" t="s">
        <v>36</v>
      </c>
      <c r="D38" s="283"/>
      <c r="E38" s="283"/>
      <c r="F38" s="249"/>
      <c r="G38" s="250"/>
      <c r="H38" s="251"/>
      <c r="I38" s="250"/>
      <c r="J38" s="250"/>
      <c r="K38" s="252"/>
      <c r="L38" s="227"/>
      <c r="M38" s="186"/>
      <c r="N38" s="17"/>
      <c r="O38" s="17"/>
      <c r="P38" s="17"/>
      <c r="Q38" s="17"/>
      <c r="R38" s="17"/>
      <c r="S38" s="17"/>
      <c r="T38" s="17"/>
      <c r="U38" s="17"/>
      <c r="V38" s="17"/>
      <c r="W38" s="17"/>
      <c r="X38" s="17"/>
      <c r="Y38" s="17"/>
      <c r="Z38" s="17"/>
    </row>
    <row r="39" spans="1:26" x14ac:dyDescent="0.25">
      <c r="A39" s="17"/>
      <c r="B39" s="234"/>
      <c r="C39" s="284" t="s">
        <v>64</v>
      </c>
      <c r="D39" s="284"/>
      <c r="E39" s="284"/>
      <c r="F39" s="63">
        <f t="shared" ref="F39:K39" ca="1" si="4">IF(F31="-",0,F35*$C$11)</f>
        <v>0</v>
      </c>
      <c r="G39" s="49">
        <f t="shared" ca="1" si="4"/>
        <v>0</v>
      </c>
      <c r="H39" s="54">
        <f t="shared" ca="1" si="4"/>
        <v>0</v>
      </c>
      <c r="I39" s="53">
        <f t="shared" ca="1" si="4"/>
        <v>0</v>
      </c>
      <c r="J39" s="49">
        <f t="shared" ca="1" si="4"/>
        <v>0</v>
      </c>
      <c r="K39" s="55">
        <f t="shared" ca="1" si="4"/>
        <v>0</v>
      </c>
      <c r="L39" s="227"/>
      <c r="M39" s="186"/>
      <c r="N39" s="17"/>
      <c r="O39" s="17"/>
      <c r="P39" s="17"/>
      <c r="Q39" s="17"/>
      <c r="R39" s="17"/>
      <c r="S39" s="17"/>
      <c r="T39" s="17"/>
      <c r="U39" s="17"/>
      <c r="V39" s="17"/>
      <c r="W39" s="17"/>
      <c r="X39" s="17"/>
      <c r="Y39" s="17"/>
      <c r="Z39" s="17"/>
    </row>
    <row r="40" spans="1:26" x14ac:dyDescent="0.25">
      <c r="A40" s="17"/>
      <c r="B40" s="234"/>
      <c r="C40" s="284" t="s">
        <v>65</v>
      </c>
      <c r="D40" s="284"/>
      <c r="E40" s="284"/>
      <c r="F40" s="63">
        <v>0</v>
      </c>
      <c r="G40" s="49">
        <v>0</v>
      </c>
      <c r="H40" s="54">
        <v>0</v>
      </c>
      <c r="I40" s="53">
        <f ca="1">IF(T24=0,0,$N$10*$C$11)</f>
        <v>253132.19400000002</v>
      </c>
      <c r="J40" s="49">
        <f ca="1">IF(U24=0,0,$N$10*$C$11)</f>
        <v>0</v>
      </c>
      <c r="K40" s="55">
        <f ca="1">IF(V24=0,0,$N$10*$C$11)</f>
        <v>0</v>
      </c>
      <c r="L40" s="227"/>
      <c r="M40" s="17"/>
      <c r="N40" s="17"/>
      <c r="O40" s="17"/>
      <c r="P40" s="17"/>
      <c r="Q40" s="17"/>
      <c r="R40" s="17"/>
      <c r="S40" s="17"/>
      <c r="T40" s="17"/>
      <c r="U40" s="17"/>
      <c r="V40" s="17"/>
      <c r="W40" s="17"/>
      <c r="X40" s="17"/>
      <c r="Y40" s="17"/>
      <c r="Z40" s="17"/>
    </row>
    <row r="41" spans="1:26" ht="13.9" customHeight="1" thickBot="1" x14ac:dyDescent="0.3">
      <c r="A41" s="17"/>
      <c r="B41" s="234"/>
      <c r="C41" s="336" t="s">
        <v>66</v>
      </c>
      <c r="D41" s="281"/>
      <c r="E41" s="337"/>
      <c r="F41" s="64">
        <f t="shared" ref="F41:K41" ca="1" si="5">SUM(F39:F40)</f>
        <v>0</v>
      </c>
      <c r="G41" s="56">
        <f t="shared" ca="1" si="5"/>
        <v>0</v>
      </c>
      <c r="H41" s="57">
        <f t="shared" ca="1" si="5"/>
        <v>0</v>
      </c>
      <c r="I41" s="58">
        <f t="shared" ca="1" si="5"/>
        <v>253132.19400000002</v>
      </c>
      <c r="J41" s="56">
        <f t="shared" ca="1" si="5"/>
        <v>0</v>
      </c>
      <c r="K41" s="59">
        <f t="shared" ca="1" si="5"/>
        <v>0</v>
      </c>
      <c r="L41" s="227"/>
      <c r="M41" s="17"/>
      <c r="N41" s="17"/>
      <c r="O41" s="17"/>
      <c r="P41" s="17"/>
      <c r="Q41" s="17"/>
      <c r="R41" s="17"/>
      <c r="S41" s="17"/>
      <c r="T41" s="17"/>
      <c r="U41" s="17"/>
      <c r="V41" s="17"/>
      <c r="W41" s="17"/>
      <c r="X41" s="17"/>
      <c r="Y41" s="17"/>
      <c r="Z41" s="17"/>
    </row>
    <row r="42" spans="1:26" ht="13.9" customHeight="1" x14ac:dyDescent="0.25">
      <c r="A42" s="17"/>
      <c r="B42" s="267"/>
      <c r="C42" s="226"/>
      <c r="D42" s="226"/>
      <c r="E42" s="226"/>
      <c r="F42" s="17"/>
      <c r="G42" s="17"/>
      <c r="H42" s="227"/>
      <c r="I42" s="227"/>
      <c r="J42" s="227"/>
      <c r="K42" s="227"/>
      <c r="L42" s="227"/>
      <c r="M42" s="17"/>
      <c r="N42" s="17"/>
      <c r="O42" s="17"/>
      <c r="P42" s="17"/>
      <c r="Q42" s="17"/>
      <c r="R42" s="17"/>
      <c r="S42" s="17"/>
      <c r="T42" s="17"/>
      <c r="U42" s="17"/>
      <c r="V42" s="17"/>
      <c r="W42" s="17"/>
      <c r="X42" s="17"/>
      <c r="Y42" s="17"/>
      <c r="Z42" s="17"/>
    </row>
    <row r="43" spans="1:26" x14ac:dyDescent="0.25">
      <c r="B43" s="272" t="s">
        <v>161</v>
      </c>
      <c r="C43" s="274"/>
      <c r="D43" s="275"/>
      <c r="E43" s="275"/>
      <c r="F43" s="275"/>
      <c r="G43" s="275"/>
      <c r="H43" s="275"/>
      <c r="I43" s="275"/>
      <c r="J43" s="275"/>
      <c r="K43" s="276"/>
    </row>
    <row r="44" spans="1:26" x14ac:dyDescent="0.25">
      <c r="B44" s="273"/>
      <c r="C44" s="277"/>
      <c r="D44" s="278"/>
      <c r="E44" s="278"/>
      <c r="F44" s="278"/>
      <c r="G44" s="278"/>
      <c r="H44" s="278"/>
      <c r="I44" s="278"/>
      <c r="J44" s="278"/>
      <c r="K44" s="279"/>
    </row>
  </sheetData>
  <sheetProtection sheet="1" objects="1" scenarios="1"/>
  <mergeCells count="25">
    <mergeCell ref="C9:D9"/>
    <mergeCell ref="C12:D12"/>
    <mergeCell ref="B6:C6"/>
    <mergeCell ref="B43:B44"/>
    <mergeCell ref="C43:K44"/>
    <mergeCell ref="I12:K14"/>
    <mergeCell ref="I28:K28"/>
    <mergeCell ref="I29:K29"/>
    <mergeCell ref="F30:H30"/>
    <mergeCell ref="I30:K30"/>
    <mergeCell ref="I17:K18"/>
    <mergeCell ref="F27:H27"/>
    <mergeCell ref="I27:K27"/>
    <mergeCell ref="C38:E38"/>
    <mergeCell ref="C39:E39"/>
    <mergeCell ref="D37:E37"/>
    <mergeCell ref="C40:E40"/>
    <mergeCell ref="C41:E41"/>
    <mergeCell ref="F28:H28"/>
    <mergeCell ref="C29:E30"/>
    <mergeCell ref="B10:B11"/>
    <mergeCell ref="B14:C14"/>
    <mergeCell ref="B15:E15"/>
    <mergeCell ref="C16:E18"/>
    <mergeCell ref="F29:H29"/>
  </mergeCells>
  <conditionalFormatting sqref="C32:E36">
    <cfRule type="cellIs" dxfId="19" priority="8" operator="equal">
      <formula>0</formula>
    </cfRule>
  </conditionalFormatting>
  <conditionalFormatting sqref="F32:K35">
    <cfRule type="cellIs" dxfId="16" priority="7" operator="equal">
      <formula>0</formula>
    </cfRule>
  </conditionalFormatting>
  <conditionalFormatting sqref="F36:K36">
    <cfRule type="cellIs" dxfId="15" priority="1" operator="equal">
      <formula>"-"</formula>
    </cfRule>
  </conditionalFormatting>
  <conditionalFormatting sqref="F37:K37">
    <cfRule type="containsText" dxfId="13" priority="5" operator="containsText" text="Should">
      <formula>NOT(ISERROR(SEARCH("Should",F37)))</formula>
    </cfRule>
    <cfRule type="containsText" dxfId="12" priority="6" operator="containsText" text="Complete">
      <formula>NOT(ISERROR(SEARCH("Complete",F37)))</formula>
    </cfRule>
  </conditionalFormatting>
  <conditionalFormatting sqref="F39:K41">
    <cfRule type="cellIs" dxfId="11" priority="3" operator="equal">
      <formula>0</formula>
    </cfRule>
  </conditionalFormatting>
  <dataValidations count="2">
    <dataValidation type="whole" allowBlank="1" showInputMessage="1" showErrorMessage="1" error="Please enter a whole number of units." sqref="F32:K35" xr:uid="{B4664A8D-3E1B-4B7D-98B0-812DFC7F7EC8}">
      <formula1>0</formula1>
      <formula2>1000</formula2>
    </dataValidation>
    <dataValidation type="whole" operator="greaterThan" allowBlank="1" showInputMessage="1" showErrorMessage="1" error="Please enter a number greater than or equal to zero." sqref="H9" xr:uid="{0FC982D4-2178-43A2-AC97-C7A72DEA1363}">
      <formula1>0</formula1>
    </dataValidation>
  </dataValidations>
  <pageMargins left="0.7" right="0.7" top="0.75" bottom="0.75" header="0.3" footer="0.3"/>
  <pageSetup scale="76" orientation="landscape" r:id="rId1"/>
  <headerFooter>
    <oddHeader>&amp;R&amp;D</oddHeader>
  </headerFooter>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662160ED-3343-4041-BC98-4797985B21D0}">
            <xm:f>NOT(ISERROR(SEARCH("-",C19)))</xm:f>
            <xm:f>"-"</xm:f>
            <x14:dxf>
              <font>
                <color theme="0" tint="-0.24994659260841701"/>
              </font>
              <fill>
                <patternFill>
                  <bgColor theme="0" tint="-4.9989318521683403E-2"/>
                </patternFill>
              </fill>
            </x14:dxf>
          </x14:cfRule>
          <xm:sqref>C19:E25</xm:sqref>
        </x14:conditionalFormatting>
        <x14:conditionalFormatting xmlns:xm="http://schemas.microsoft.com/office/excel/2006/main">
          <x14:cfRule type="containsText" priority="2" operator="containsText" id="{D0753E5A-A29F-4E1F-9FD3-56B6BEF57941}">
            <xm:f>NOT(ISERROR(SEARCH("-",C31)))</xm:f>
            <xm:f>"-"</xm:f>
            <x14:dxf>
              <font>
                <color theme="0" tint="-0.24994659260841701"/>
              </font>
              <fill>
                <patternFill>
                  <bgColor theme="0" tint="-4.9989318521683403E-2"/>
                </patternFill>
              </fill>
            </x14:dxf>
          </x14:cfRule>
          <xm:sqref>C31:K31</xm:sqref>
        </x14:conditionalFormatting>
        <x14:conditionalFormatting xmlns:xm="http://schemas.microsoft.com/office/excel/2006/main">
          <x14:cfRule type="containsText" priority="11" operator="containsText" id="{A738EBF1-F487-46F7-91FE-1CAF01F2851E}">
            <xm:f>NOT(ISERROR(SEARCH("-",C26)))</xm:f>
            <xm:f>"-"</xm:f>
            <x14:dxf>
              <font>
                <color theme="0" tint="-0.24994659260841701"/>
              </font>
              <fill>
                <patternFill>
                  <bgColor theme="0" tint="-4.9989318521683403E-2"/>
                </patternFill>
              </fill>
            </x14:dxf>
          </x14:cfRule>
          <xm:sqref>D26:E26 C27</xm:sqref>
        </x14:conditionalFormatting>
        <x14:conditionalFormatting xmlns:xm="http://schemas.microsoft.com/office/excel/2006/main">
          <x14:cfRule type="containsText" priority="4" operator="containsText" id="{64B21FA1-7421-4B2D-A200-4FFE2759CE13}">
            <xm:f>NOT(ISERROR(SEARCH("-",F37)))</xm:f>
            <xm:f>"-"</xm:f>
            <x14:dxf>
              <font>
                <color theme="0" tint="-0.24994659260841701"/>
              </font>
              <fill>
                <patternFill>
                  <bgColor theme="0" tint="-4.9989318521683403E-2"/>
                </patternFill>
              </fill>
            </x14:dxf>
          </x14:cfRule>
          <xm:sqref>F37:K37</xm:sqref>
        </x14:conditionalFormatting>
        <x14:conditionalFormatting xmlns:xm="http://schemas.microsoft.com/office/excel/2006/main">
          <x14:cfRule type="containsText" priority="12" operator="containsText" id="{3B1BE4F2-8FFB-42BD-BDCC-B7F660AE5DE8}">
            <xm:f>NOT(ISERROR(SEARCH("-",I19)))</xm:f>
            <xm:f>"-"</xm:f>
            <x14:dxf>
              <font>
                <color theme="0" tint="-0.24994659260841701"/>
              </font>
              <fill>
                <patternFill>
                  <bgColor theme="0" tint="-4.9989318521683403E-2"/>
                </patternFill>
              </fill>
            </x14:dxf>
          </x14:cfRule>
          <xm:sqref>I19:K19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A964DDB-8E56-4D82-AFCE-26BBCDFDF967}">
          <x14:formula1>
            <xm:f>'Data Tables'!$B$9:$B$13</xm:f>
          </x14:formula1>
          <xm:sqref>B6</xm:sqref>
        </x14:dataValidation>
        <x14:dataValidation type="list" allowBlank="1" showInputMessage="1" showErrorMessage="1" xr:uid="{A04A8306-C079-4CF3-A05E-74C91F799643}">
          <x14:formula1>
            <xm:f>'Data Tables'!$B$5:$B$6</xm:f>
          </x14:formula1>
          <xm:sqref>K9</xm:sqref>
        </x14:dataValidation>
        <x14:dataValidation type="list" operator="greaterThan" allowBlank="1" showInputMessage="1" showErrorMessage="1" error="Please enter a number greater than or equal to zero." xr:uid="{B2D64804-9314-47EE-92FE-5BC50F84C5FD}">
          <x14:formula1>
            <xm:f>'Data Tables'!$B$5:$B$6</xm:f>
          </x14:formula1>
          <xm:sqref>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85D0-4688-4652-A4DC-FE7C470355C0}">
  <sheetPr>
    <tabColor theme="9" tint="0.79998168889431442"/>
  </sheetPr>
  <dimension ref="B2:X39"/>
  <sheetViews>
    <sheetView showGridLines="0" zoomScaleNormal="100" workbookViewId="0">
      <selection activeCell="I17" sqref="I17:K18"/>
    </sheetView>
  </sheetViews>
  <sheetFormatPr defaultColWidth="9.28515625" defaultRowHeight="15" x14ac:dyDescent="0.25"/>
  <cols>
    <col min="1" max="1" width="2.7109375" style="1" customWidth="1"/>
    <col min="2" max="2" width="32.42578125" style="3" customWidth="1"/>
    <col min="3" max="4" width="10.28515625" style="1" customWidth="1"/>
    <col min="5" max="5" width="10.28515625" style="6" customWidth="1"/>
    <col min="6" max="9" width="16.28515625" style="6" customWidth="1"/>
    <col min="10" max="10" width="16.28515625" style="7" customWidth="1"/>
    <col min="11" max="11" width="16.28515625" style="1" customWidth="1"/>
    <col min="12" max="12" width="9.28515625" style="1"/>
    <col min="25" max="16384" width="9.28515625" style="1"/>
  </cols>
  <sheetData>
    <row r="2" spans="2:11" ht="16.5" thickBot="1" x14ac:dyDescent="0.35">
      <c r="B2" s="8" t="s">
        <v>25</v>
      </c>
      <c r="C2" s="228"/>
      <c r="D2" s="228"/>
      <c r="E2" s="229"/>
      <c r="F2" s="229"/>
      <c r="G2" s="229"/>
      <c r="H2" s="229"/>
      <c r="I2" s="229"/>
      <c r="J2" s="230"/>
      <c r="K2" s="228"/>
    </row>
    <row r="3" spans="2:11" ht="15.75" x14ac:dyDescent="0.3">
      <c r="B3" s="2"/>
      <c r="C3" s="17"/>
      <c r="D3" s="17"/>
      <c r="E3" s="227"/>
      <c r="F3" s="227"/>
      <c r="G3" s="227"/>
      <c r="H3" s="227"/>
      <c r="I3" s="227"/>
      <c r="J3" s="186"/>
      <c r="K3" s="17"/>
    </row>
    <row r="10" spans="2:11" ht="14.65" customHeight="1" x14ac:dyDescent="0.25">
      <c r="B10" s="226"/>
      <c r="C10" s="17"/>
      <c r="D10" s="17"/>
      <c r="E10" s="227"/>
      <c r="F10" s="227"/>
      <c r="G10" s="227"/>
      <c r="H10" s="227"/>
      <c r="I10" s="227"/>
      <c r="J10" s="186"/>
      <c r="K10" s="17"/>
    </row>
    <row r="14" spans="2:11" ht="16.5" thickBot="1" x14ac:dyDescent="0.35">
      <c r="B14" s="311" t="s">
        <v>46</v>
      </c>
      <c r="C14" s="311"/>
      <c r="D14" s="351"/>
      <c r="E14" s="351"/>
      <c r="F14" s="351"/>
      <c r="G14" s="351"/>
      <c r="H14" s="351"/>
      <c r="I14" s="351"/>
      <c r="J14" s="351"/>
      <c r="K14" s="351"/>
    </row>
    <row r="15" spans="2:11" ht="16.5" thickTop="1" thickBot="1" x14ac:dyDescent="0.3">
      <c r="B15" s="310"/>
      <c r="C15" s="310"/>
      <c r="D15" s="310"/>
      <c r="E15" s="310"/>
      <c r="F15" s="47"/>
      <c r="G15" s="47"/>
      <c r="H15" s="47"/>
      <c r="I15" s="227"/>
      <c r="J15" s="186"/>
      <c r="K15" s="17"/>
    </row>
    <row r="16" spans="2:11" ht="14.65" customHeight="1" x14ac:dyDescent="0.25">
      <c r="B16" s="17"/>
      <c r="C16" s="299" t="str">
        <f ca="1">"Means of Compliance by Income Group for Developments of "&amp;'Worksheet for OWNERSHIP'!$N$7</f>
        <v>Means of Compliance by Income Group for Developments of 4 units/lots or fewer</v>
      </c>
      <c r="D16" s="300"/>
      <c r="E16" s="301"/>
      <c r="F16" s="344" t="s">
        <v>57</v>
      </c>
      <c r="G16" s="345"/>
      <c r="H16" s="346"/>
      <c r="I16" s="345" t="s">
        <v>74</v>
      </c>
      <c r="J16" s="345"/>
      <c r="K16" s="347"/>
    </row>
    <row r="17" spans="2:12" ht="15" customHeight="1" x14ac:dyDescent="0.25">
      <c r="B17" s="17"/>
      <c r="C17" s="302"/>
      <c r="D17" s="303"/>
      <c r="E17" s="304"/>
      <c r="F17" s="292" t="str">
        <f>"Calculated units by income group for a total of "&amp;'Worksheet for OWNERSHIP'!N8&amp;" unit(s)"</f>
        <v>Calculated units by income group for a total of 1 unit(s)</v>
      </c>
      <c r="G17" s="293"/>
      <c r="H17" s="348"/>
      <c r="I17" s="349" t="str">
        <f>IF('Worksheet for OWNERSHIP'!$N$11,"NOTE: The option to pay the in-lieu fee on fractional units is not available for projects of 4 units or more.",IF('Worksheet for OWNERSHIP'!$N$12,"This option does not apply because the calculated total inclusionary units does not result in a fraction.","Calculated units by income group for a total of "&amp;'Worksheet for OWNERSHIP'!N9&amp;" unit(s) plus an in-lieu fee for the remaining "&amp;TEXT('Worksheet for OWNERSHIP'!$N$10,"0.0000")&amp;" fractional units"))</f>
        <v>Calculated units by income group for a total of 0 unit(s) plus an in-lieu fee for the remaining 0.6000 fractional units</v>
      </c>
      <c r="J17" s="349"/>
      <c r="K17" s="350"/>
      <c r="L17" s="17"/>
    </row>
    <row r="18" spans="2:12" ht="15" customHeight="1" x14ac:dyDescent="0.25">
      <c r="B18" s="226"/>
      <c r="C18" s="302"/>
      <c r="D18" s="303"/>
      <c r="E18" s="304"/>
      <c r="F18" s="292"/>
      <c r="G18" s="293"/>
      <c r="H18" s="348"/>
      <c r="I18" s="349"/>
      <c r="J18" s="349"/>
      <c r="K18" s="350"/>
      <c r="L18" s="17"/>
    </row>
    <row r="19" spans="2:12" ht="27" x14ac:dyDescent="0.25">
      <c r="B19" s="50" t="s">
        <v>75</v>
      </c>
      <c r="C19" s="92" t="str">
        <f ca="1">IF('Worksheet for OWNERSHIP'!N24=0,"-","A")</f>
        <v>A</v>
      </c>
      <c r="D19" s="91" t="str">
        <f ca="1">IF('Worksheet for OWNERSHIP'!O24=0,"-","B")</f>
        <v>-</v>
      </c>
      <c r="E19" s="68" t="str">
        <f ca="1">IF('Worksheet for OWNERSHIP'!P24=0,"-","C")</f>
        <v>-</v>
      </c>
      <c r="F19" s="92" t="str">
        <f ca="1">C19</f>
        <v>A</v>
      </c>
      <c r="G19" s="91" t="str">
        <f ca="1">D19</f>
        <v>-</v>
      </c>
      <c r="H19" s="105" t="str">
        <f ca="1">E19</f>
        <v>-</v>
      </c>
      <c r="I19" s="104" t="str">
        <f ca="1">IF('Worksheet for OWNERSHIP'!$N$13,"-",C19)</f>
        <v>A</v>
      </c>
      <c r="J19" s="91" t="str">
        <f ca="1">IF('Worksheet for OWNERSHIP'!$N$13,"-",D19)</f>
        <v>-</v>
      </c>
      <c r="K19" s="68" t="str">
        <f ca="1">IF('Worksheet for OWNERSHIP'!$N$13,"-",E19)</f>
        <v>-</v>
      </c>
      <c r="L19" s="227"/>
    </row>
    <row r="20" spans="2:12" x14ac:dyDescent="0.25">
      <c r="B20" s="51" t="s">
        <v>52</v>
      </c>
      <c r="C20" s="60" t="str">
        <f ca="1">IF(AND('Worksheet for OWNERSHIP'!Q20&gt;0,ISNUMBER('Worksheet for OWNERSHIP'!Q20)),'Worksheet for OWNERSHIP'!Q20,"-")</f>
        <v>-</v>
      </c>
      <c r="D20" s="61" t="str">
        <f ca="1">IF(AND('Worksheet for OWNERSHIP'!R20&gt;0,ISNUMBER('Worksheet for OWNERSHIP'!R20)),'Worksheet for OWNERSHIP'!R20,"-")</f>
        <v>-</v>
      </c>
      <c r="E20" s="62" t="str">
        <f ca="1">IF(AND('Worksheet for OWNERSHIP'!S20&gt;0,ISNUMBER('Worksheet for OWNERSHIP'!S20)),'Worksheet for OWNERSHIP'!S20,"-")</f>
        <v>-</v>
      </c>
      <c r="F20" s="76">
        <f ca="1">IF('Worksheet for OWNERSHIP'!N20=0,0,'Worksheet for OWNERSHIP'!$N$8*'Worksheet for OWNERSHIP'!N20/'Worksheet for OWNERSHIP'!N$24)</f>
        <v>0</v>
      </c>
      <c r="G20" s="78">
        <f ca="1">IF('Worksheet for OWNERSHIP'!O20=0,0,'Worksheet for OWNERSHIP'!$N$8*'Worksheet for OWNERSHIP'!O20/'Worksheet for OWNERSHIP'!O$24)</f>
        <v>0</v>
      </c>
      <c r="H20" s="80">
        <f ca="1">IF('Worksheet for OWNERSHIP'!P20=0,0,'Worksheet for OWNERSHIP'!$N$8*'Worksheet for OWNERSHIP'!P20/'Worksheet for OWNERSHIP'!P$24)</f>
        <v>0</v>
      </c>
      <c r="I20" s="78">
        <f ca="1">IF(OR('Worksheet for OWNERSHIP'!$N$13,'Worksheet for OWNERSHIP'!N20=0),0,'Worksheet for OWNERSHIP'!$N$9*'Worksheet for OWNERSHIP'!N20/'Worksheet for OWNERSHIP'!N$24)</f>
        <v>0</v>
      </c>
      <c r="J20" s="78">
        <f ca="1">IF(OR('Worksheet for OWNERSHIP'!$N$13,'Worksheet for OWNERSHIP'!O20=0),0,'Worksheet for OWNERSHIP'!$N$9*'Worksheet for OWNERSHIP'!O20/'Worksheet for OWNERSHIP'!O$24)</f>
        <v>0</v>
      </c>
      <c r="K20" s="86">
        <f ca="1">IF(OR('Worksheet for OWNERSHIP'!$N$13,'Worksheet for OWNERSHIP'!P20=0),0,'Worksheet for OWNERSHIP'!$N$9*'Worksheet for OWNERSHIP'!P20/'Worksheet for OWNERSHIP'!P$24)</f>
        <v>0</v>
      </c>
      <c r="L20" s="227"/>
    </row>
    <row r="21" spans="2:12" x14ac:dyDescent="0.25">
      <c r="B21" s="52" t="s">
        <v>53</v>
      </c>
      <c r="C21" s="60" t="str">
        <f ca="1">IF(AND('Worksheet for OWNERSHIP'!Q21&gt;0,ISNUMBER('Worksheet for OWNERSHIP'!Q21)),'Worksheet for OWNERSHIP'!Q21,"-")</f>
        <v>-</v>
      </c>
      <c r="D21" s="61" t="str">
        <f ca="1">IF(AND('Worksheet for OWNERSHIP'!R21&gt;0,ISNUMBER('Worksheet for OWNERSHIP'!R21)),'Worksheet for OWNERSHIP'!R21,"-")</f>
        <v>-</v>
      </c>
      <c r="E21" s="62" t="str">
        <f ca="1">IF(AND('Worksheet for OWNERSHIP'!S21&gt;0,ISNUMBER('Worksheet for OWNERSHIP'!S21)),'Worksheet for OWNERSHIP'!S21,"-")</f>
        <v>-</v>
      </c>
      <c r="F21" s="76">
        <f ca="1">IF('Worksheet for OWNERSHIP'!N21=0,0,'Worksheet for OWNERSHIP'!$N$8*'Worksheet for OWNERSHIP'!N21/'Worksheet for OWNERSHIP'!N$24)</f>
        <v>0</v>
      </c>
      <c r="G21" s="81">
        <f ca="1">IF('Worksheet for OWNERSHIP'!O21=0,0,'Worksheet for OWNERSHIP'!$N$8*'Worksheet for OWNERSHIP'!O21/'Worksheet for OWNERSHIP'!O$24)</f>
        <v>0</v>
      </c>
      <c r="H21" s="82">
        <f ca="1">IF('Worksheet for OWNERSHIP'!P21=0,0,'Worksheet for OWNERSHIP'!$N$8*'Worksheet for OWNERSHIP'!P21/'Worksheet for OWNERSHIP'!P$24)</f>
        <v>0</v>
      </c>
      <c r="I21" s="78">
        <f ca="1">IF(OR('Worksheet for OWNERSHIP'!$N$13,'Worksheet for OWNERSHIP'!N21=0),0,'Worksheet for OWNERSHIP'!$N$9*'Worksheet for OWNERSHIP'!N21/'Worksheet for OWNERSHIP'!N$24)</f>
        <v>0</v>
      </c>
      <c r="J21" s="78">
        <f ca="1">IF(OR('Worksheet for OWNERSHIP'!$N$13,'Worksheet for OWNERSHIP'!O21=0),0,'Worksheet for OWNERSHIP'!$N$9*'Worksheet for OWNERSHIP'!O21/'Worksheet for OWNERSHIP'!O$24)</f>
        <v>0</v>
      </c>
      <c r="K21" s="86">
        <f ca="1">IF(OR('Worksheet for OWNERSHIP'!$N$13,'Worksheet for OWNERSHIP'!P21=0),0,'Worksheet for OWNERSHIP'!$N$9*'Worksheet for OWNERSHIP'!P21/'Worksheet for OWNERSHIP'!P$24)</f>
        <v>0</v>
      </c>
      <c r="L21" s="227"/>
    </row>
    <row r="22" spans="2:12" x14ac:dyDescent="0.25">
      <c r="B22" s="51" t="s">
        <v>76</v>
      </c>
      <c r="C22" s="60">
        <f ca="1">IF(AND('Worksheet for OWNERSHIP'!Q22&gt;0,ISNUMBER('Worksheet for OWNERSHIP'!Q22)),'Worksheet for OWNERSHIP'!Q22,"-")</f>
        <v>0.2</v>
      </c>
      <c r="D22" s="61" t="str">
        <f ca="1">IF(AND('Worksheet for OWNERSHIP'!R22&gt;0,ISNUMBER('Worksheet for OWNERSHIP'!R22)),'Worksheet for OWNERSHIP'!R22,"-")</f>
        <v>-</v>
      </c>
      <c r="E22" s="62" t="str">
        <f ca="1">IF(AND('Worksheet for OWNERSHIP'!S22&gt;0,ISNUMBER('Worksheet for OWNERSHIP'!S22)),'Worksheet for OWNERSHIP'!S22,"-")</f>
        <v>-</v>
      </c>
      <c r="F22" s="76">
        <f ca="1">IF('Worksheet for OWNERSHIP'!N22=0,0,'Worksheet for OWNERSHIP'!$N$8*'Worksheet for OWNERSHIP'!N22/'Worksheet for OWNERSHIP'!N$24)</f>
        <v>1</v>
      </c>
      <c r="G22" s="81">
        <f ca="1">IF('Worksheet for OWNERSHIP'!O22=0,0,'Worksheet for OWNERSHIP'!$N$8*'Worksheet for OWNERSHIP'!O22/'Worksheet for OWNERSHIP'!O$24)</f>
        <v>0</v>
      </c>
      <c r="H22" s="82">
        <f ca="1">IF('Worksheet for OWNERSHIP'!P22=0,0,'Worksheet for OWNERSHIP'!$N$8*'Worksheet for OWNERSHIP'!P22/'Worksheet for OWNERSHIP'!P$24)</f>
        <v>0</v>
      </c>
      <c r="I22" s="78">
        <f ca="1">IF(OR('Worksheet for OWNERSHIP'!$N$13,'Worksheet for OWNERSHIP'!N22=0),0,'Worksheet for OWNERSHIP'!$N$9*'Worksheet for OWNERSHIP'!N22/'Worksheet for OWNERSHIP'!N$24)</f>
        <v>0</v>
      </c>
      <c r="J22" s="78">
        <f ca="1">IF(OR('Worksheet for OWNERSHIP'!$N$13,'Worksheet for OWNERSHIP'!O22=0),0,'Worksheet for OWNERSHIP'!$N$9*'Worksheet for OWNERSHIP'!O22/'Worksheet for OWNERSHIP'!O$24)</f>
        <v>0</v>
      </c>
      <c r="K22" s="86">
        <f ca="1">IF(OR('Worksheet for OWNERSHIP'!$N$13,'Worksheet for OWNERSHIP'!P22=0),0,'Worksheet for OWNERSHIP'!$N$9*'Worksheet for OWNERSHIP'!P22/'Worksheet for OWNERSHIP'!P$24)</f>
        <v>0</v>
      </c>
      <c r="L22" s="227"/>
    </row>
    <row r="23" spans="2:12" x14ac:dyDescent="0.25">
      <c r="B23" s="51" t="s">
        <v>54</v>
      </c>
      <c r="C23" s="60" t="str">
        <f ca="1">IF(AND('Worksheet for OWNERSHIP'!Q23&gt;0,ISNUMBER('Worksheet for OWNERSHIP'!Q23)),'Worksheet for OWNERSHIP'!Q23,"-")</f>
        <v>-</v>
      </c>
      <c r="D23" s="61" t="str">
        <f ca="1">IF(AND('Worksheet for OWNERSHIP'!R23&gt;0,ISNUMBER('Worksheet for OWNERSHIP'!R23)),'Worksheet for OWNERSHIP'!R23,"-")</f>
        <v>-</v>
      </c>
      <c r="E23" s="62" t="str">
        <f ca="1">IF(AND('Worksheet for OWNERSHIP'!S23&gt;0,ISNUMBER('Worksheet for OWNERSHIP'!S23)),'Worksheet for OWNERSHIP'!S23,"-")</f>
        <v>-</v>
      </c>
      <c r="F23" s="76">
        <f ca="1">IF('Worksheet for OWNERSHIP'!N23=0,0,'Worksheet for OWNERSHIP'!$N$8*'Worksheet for OWNERSHIP'!N23/'Worksheet for OWNERSHIP'!N$24)</f>
        <v>0</v>
      </c>
      <c r="G23" s="78">
        <f ca="1">IF('Worksheet for OWNERSHIP'!O23=0,0,'Worksheet for OWNERSHIP'!$N$8*'Worksheet for OWNERSHIP'!O23/'Worksheet for OWNERSHIP'!O$24)</f>
        <v>0</v>
      </c>
      <c r="H23" s="77">
        <f ca="1">IF('Worksheet for OWNERSHIP'!P23=0,0,'Worksheet for OWNERSHIP'!$N$8*'Worksheet for OWNERSHIP'!P23/'Worksheet for OWNERSHIP'!P$24)</f>
        <v>0</v>
      </c>
      <c r="I23" s="78">
        <f ca="1">IF(OR('Worksheet for OWNERSHIP'!$N$13,'Worksheet for OWNERSHIP'!N23=0),0,'Worksheet for OWNERSHIP'!$N$9*'Worksheet for OWNERSHIP'!N23/'Worksheet for OWNERSHIP'!N$24)</f>
        <v>0</v>
      </c>
      <c r="J23" s="78">
        <f ca="1">IF(OR('Worksheet for OWNERSHIP'!$N$13,'Worksheet for OWNERSHIP'!O23=0),0,'Worksheet for OWNERSHIP'!$N$9*'Worksheet for OWNERSHIP'!O23/'Worksheet for OWNERSHIP'!O$24)</f>
        <v>0</v>
      </c>
      <c r="K23" s="86">
        <f ca="1">IF(OR('Worksheet for OWNERSHIP'!$N$13,'Worksheet for OWNERSHIP'!P23=0),0,'Worksheet for OWNERSHIP'!$N$9*'Worksheet for OWNERSHIP'!P23/'Worksheet for OWNERSHIP'!P$24)</f>
        <v>0</v>
      </c>
      <c r="L23" s="227"/>
    </row>
    <row r="24" spans="2:12" ht="15.75" thickBot="1" x14ac:dyDescent="0.3">
      <c r="B24" s="45" t="s">
        <v>55</v>
      </c>
      <c r="C24" s="115">
        <f ca="1">IF(SUM(C20:C23)&gt;0,SUM(C20:C23),"-")</f>
        <v>0.2</v>
      </c>
      <c r="D24" s="116" t="str">
        <f ca="1">IF(SUM(D20:D23)&gt;0,SUM(D20:D23),"-")</f>
        <v>-</v>
      </c>
      <c r="E24" s="117" t="str">
        <f ca="1">IF(SUM(E20:E23)&gt;0,SUM(E20:E23),"-")</f>
        <v>-</v>
      </c>
      <c r="F24" s="106">
        <f ca="1">SUM(F20:F23)</f>
        <v>1</v>
      </c>
      <c r="G24" s="107">
        <f ca="1">SUM(G20:G23)</f>
        <v>0</v>
      </c>
      <c r="H24" s="108">
        <f ca="1">SUM(H20:H23)</f>
        <v>0</v>
      </c>
      <c r="I24" s="109">
        <f ca="1">SUM(I20:I23)</f>
        <v>0</v>
      </c>
      <c r="J24" s="107">
        <f ca="1">SUM(J20:J23)</f>
        <v>0</v>
      </c>
      <c r="K24" s="110">
        <f ca="1">SUM(K20:K22)</f>
        <v>0</v>
      </c>
      <c r="L24" s="227"/>
    </row>
    <row r="25" spans="2:12" x14ac:dyDescent="0.25">
      <c r="B25" s="263"/>
      <c r="C25" s="83"/>
      <c r="D25" s="83"/>
      <c r="E25" s="87"/>
      <c r="F25" s="131"/>
      <c r="G25" s="132"/>
      <c r="H25" s="137"/>
      <c r="I25" s="132"/>
      <c r="J25" s="132"/>
      <c r="K25" s="133"/>
      <c r="L25" s="227"/>
    </row>
    <row r="26" spans="2:12" s="85" customFormat="1" ht="14.65" customHeight="1" x14ac:dyDescent="0.25">
      <c r="B26" s="93"/>
      <c r="C26" s="83"/>
      <c r="D26" s="83"/>
      <c r="E26" s="95"/>
      <c r="F26" s="134"/>
      <c r="G26" s="135"/>
      <c r="H26" s="138"/>
      <c r="I26" s="135"/>
      <c r="J26" s="135"/>
      <c r="K26" s="136"/>
      <c r="L26" s="248"/>
    </row>
    <row r="27" spans="2:12" s="85" customFormat="1" ht="14.65" customHeight="1" x14ac:dyDescent="0.25">
      <c r="B27" s="93"/>
      <c r="C27" s="118" t="s">
        <v>77</v>
      </c>
      <c r="D27" s="20"/>
      <c r="E27" s="20"/>
      <c r="F27" s="96" t="str">
        <f ca="1">F19</f>
        <v>A</v>
      </c>
      <c r="G27" s="97" t="str">
        <f ca="1">G19</f>
        <v>-</v>
      </c>
      <c r="H27" s="112" t="str">
        <f ca="1">H19</f>
        <v>-</v>
      </c>
      <c r="I27" s="97" t="str">
        <f t="shared" ref="I27:K27" ca="1" si="0">I19</f>
        <v>A</v>
      </c>
      <c r="J27" s="99" t="str">
        <f t="shared" ca="1" si="0"/>
        <v>-</v>
      </c>
      <c r="K27" s="98" t="str">
        <f t="shared" ca="1" si="0"/>
        <v>-</v>
      </c>
      <c r="L27" s="248"/>
    </row>
    <row r="28" spans="2:12" ht="13.9" customHeight="1" x14ac:dyDescent="0.25">
      <c r="B28" s="234"/>
      <c r="C28" s="356" t="s">
        <v>52</v>
      </c>
      <c r="D28" s="356"/>
      <c r="E28" s="357"/>
      <c r="F28" s="142"/>
      <c r="G28" s="123"/>
      <c r="H28" s="124"/>
      <c r="I28" s="123"/>
      <c r="J28" s="144"/>
      <c r="K28" s="145"/>
      <c r="L28" s="227"/>
    </row>
    <row r="29" spans="2:12" x14ac:dyDescent="0.25">
      <c r="B29" s="234"/>
      <c r="C29" s="358" t="s">
        <v>53</v>
      </c>
      <c r="D29" s="358"/>
      <c r="E29" s="359"/>
      <c r="F29" s="122"/>
      <c r="G29" s="125"/>
      <c r="H29" s="126"/>
      <c r="I29" s="123"/>
      <c r="J29" s="125"/>
      <c r="K29" s="127"/>
      <c r="L29" s="227"/>
    </row>
    <row r="30" spans="2:12" x14ac:dyDescent="0.25">
      <c r="B30" s="234"/>
      <c r="C30" s="360" t="s">
        <v>76</v>
      </c>
      <c r="D30" s="360"/>
      <c r="E30" s="361"/>
      <c r="F30" s="122"/>
      <c r="G30" s="125"/>
      <c r="H30" s="126"/>
      <c r="I30" s="123"/>
      <c r="J30" s="125"/>
      <c r="K30" s="127"/>
      <c r="L30" s="227"/>
    </row>
    <row r="31" spans="2:12" x14ac:dyDescent="0.25">
      <c r="B31" s="234"/>
      <c r="C31" s="360" t="s">
        <v>54</v>
      </c>
      <c r="D31" s="360"/>
      <c r="E31" s="361"/>
      <c r="F31" s="143"/>
      <c r="G31" s="123"/>
      <c r="H31" s="128"/>
      <c r="I31" s="123"/>
      <c r="J31" s="146"/>
      <c r="K31" s="129"/>
      <c r="L31" s="227"/>
    </row>
    <row r="32" spans="2:12" x14ac:dyDescent="0.25">
      <c r="B32" s="234"/>
      <c r="C32" s="362" t="s">
        <v>55</v>
      </c>
      <c r="D32" s="363"/>
      <c r="E32" s="364"/>
      <c r="F32" s="139">
        <f ca="1">IF(F19="-","-",SUM(F28:F31))</f>
        <v>0</v>
      </c>
      <c r="G32" s="141" t="str">
        <f ca="1">IF(G19="-","-",SUM(G28:G31))</f>
        <v>-</v>
      </c>
      <c r="H32" s="156" t="str">
        <f ca="1">IF(H19="-","-",SUM(H28:H31))</f>
        <v>-</v>
      </c>
      <c r="I32" s="155">
        <f t="shared" ref="I32:K32" ca="1" si="1">IF(I19="-","-",SUM(I28:I31))</f>
        <v>0</v>
      </c>
      <c r="J32" s="141" t="str">
        <f t="shared" ca="1" si="1"/>
        <v>-</v>
      </c>
      <c r="K32" s="140" t="str">
        <f t="shared" ca="1" si="1"/>
        <v>-</v>
      </c>
      <c r="L32" s="227"/>
    </row>
    <row r="33" spans="2:12" ht="28.15" customHeight="1" x14ac:dyDescent="0.25">
      <c r="B33" s="100"/>
      <c r="C33" s="119"/>
      <c r="D33" s="365" t="s">
        <v>63</v>
      </c>
      <c r="E33" s="366"/>
      <c r="F33" s="90" t="str">
        <f ca="1">IF(F19="-","-",IF(F32=F24,"Complete","Total units should equal "&amp;F24 ))</f>
        <v>Total units should equal 1</v>
      </c>
      <c r="G33" s="101" t="str">
        <f ca="1">IF(G19="-","-",IF(G32=G24,"Complete","Total units should equal "&amp;G24 ))</f>
        <v>-</v>
      </c>
      <c r="H33" s="113" t="str">
        <f ca="1">IF(H19="-","-",IF(H32=H24,"Complete","Total units should equal "&amp;H24 ))</f>
        <v>-</v>
      </c>
      <c r="I33" s="111" t="str">
        <f t="shared" ref="I33:K33" ca="1" si="2">IF(I19="-","-",IF(I32=I24,"Complete","Total units should equal "&amp;I24 ))</f>
        <v>Complete</v>
      </c>
      <c r="J33" s="101" t="str">
        <f t="shared" ca="1" si="2"/>
        <v>-</v>
      </c>
      <c r="K33" s="102" t="str">
        <f t="shared" ca="1" si="2"/>
        <v>-</v>
      </c>
      <c r="L33" s="227"/>
    </row>
    <row r="34" spans="2:12" x14ac:dyDescent="0.25">
      <c r="B34" s="234"/>
      <c r="C34" s="283" t="s">
        <v>78</v>
      </c>
      <c r="D34" s="283"/>
      <c r="E34" s="367"/>
      <c r="F34" s="249"/>
      <c r="G34" s="250"/>
      <c r="H34" s="251"/>
      <c r="I34" s="250"/>
      <c r="J34" s="250"/>
      <c r="K34" s="252"/>
      <c r="L34" s="227"/>
    </row>
    <row r="35" spans="2:12" ht="13.9" customHeight="1" x14ac:dyDescent="0.25">
      <c r="B35" s="234"/>
      <c r="C35" s="284" t="s">
        <v>64</v>
      </c>
      <c r="D35" s="284"/>
      <c r="E35" s="352"/>
      <c r="F35" s="88">
        <f ca="1">IF(F32&gt;0,F31*'Worksheet for OWNERSHIP'!$K$10,0)</f>
        <v>0</v>
      </c>
      <c r="G35" s="89">
        <f ca="1">IF(G32&gt;0,G31*'Worksheet for OWNERSHIP'!$K$10,0)</f>
        <v>0</v>
      </c>
      <c r="H35" s="114">
        <f ca="1">IF(H32&gt;0,H31*'Worksheet for OWNERSHIP'!$K$10,0)</f>
        <v>0</v>
      </c>
      <c r="I35" s="89">
        <f ca="1">IF(I32&gt;0,I31*'Worksheet for OWNERSHIP'!$K$10,0)</f>
        <v>0</v>
      </c>
      <c r="J35" s="89">
        <f ca="1">IF(J32&gt;0,J31*'Worksheet for OWNERSHIP'!$K$10,0)</f>
        <v>0</v>
      </c>
      <c r="K35" s="103">
        <f ca="1">IF(K32&gt;0,K31*'Worksheet for OWNERSHIP'!$K$10,0)</f>
        <v>0</v>
      </c>
      <c r="L35" s="227"/>
    </row>
    <row r="36" spans="2:12" ht="13.9" customHeight="1" x14ac:dyDescent="0.25">
      <c r="B36" s="234"/>
      <c r="C36" s="284" t="s">
        <v>65</v>
      </c>
      <c r="D36" s="284"/>
      <c r="E36" s="352"/>
      <c r="F36" s="63">
        <v>0</v>
      </c>
      <c r="G36" s="49">
        <v>0</v>
      </c>
      <c r="H36" s="54">
        <v>0</v>
      </c>
      <c r="I36" s="53">
        <f ca="1">IF('Worksheet for OWNERSHIP'!T24=0,0,'Worksheet for OWNERSHIP'!$N$10*'Worksheet for OWNERSHIP'!$K$10)</f>
        <v>253132.19400000002</v>
      </c>
      <c r="J36" s="49">
        <f ca="1">IF('Worksheet for OWNERSHIP'!U24=0,0,'Worksheet for OWNERSHIP'!$N$10*'Worksheet for OWNERSHIP'!$K$10)</f>
        <v>0</v>
      </c>
      <c r="K36" s="55">
        <f ca="1">IF('Worksheet for OWNERSHIP'!V24=0,0,'Worksheet for OWNERSHIP'!$N$10*'Worksheet for OWNERSHIP'!$K$10)</f>
        <v>0</v>
      </c>
      <c r="L36" s="227"/>
    </row>
    <row r="37" spans="2:12" ht="13.9" customHeight="1" thickBot="1" x14ac:dyDescent="0.3">
      <c r="B37" s="234"/>
      <c r="C37" s="353" t="s">
        <v>66</v>
      </c>
      <c r="D37" s="354"/>
      <c r="E37" s="355"/>
      <c r="F37" s="64">
        <f t="shared" ref="F37:K37" ca="1" si="3">SUM(F35:F36)</f>
        <v>0</v>
      </c>
      <c r="G37" s="56">
        <f t="shared" ca="1" si="3"/>
        <v>0</v>
      </c>
      <c r="H37" s="57">
        <f t="shared" ca="1" si="3"/>
        <v>0</v>
      </c>
      <c r="I37" s="58">
        <f t="shared" ca="1" si="3"/>
        <v>253132.19400000002</v>
      </c>
      <c r="J37" s="56">
        <f t="shared" ca="1" si="3"/>
        <v>0</v>
      </c>
      <c r="K37" s="59">
        <f t="shared" ca="1" si="3"/>
        <v>0</v>
      </c>
      <c r="L37" s="227"/>
    </row>
    <row r="38" spans="2:12" ht="13.9" customHeight="1" x14ac:dyDescent="0.25">
      <c r="B38" s="17"/>
      <c r="C38" s="226"/>
      <c r="D38" s="226"/>
      <c r="E38" s="226"/>
      <c r="F38" s="17"/>
      <c r="G38" s="17"/>
      <c r="H38" s="227"/>
      <c r="I38" s="227"/>
      <c r="J38" s="227"/>
      <c r="K38" s="227"/>
      <c r="L38" s="227"/>
    </row>
    <row r="39" spans="2:12" x14ac:dyDescent="0.25">
      <c r="B39" s="226"/>
      <c r="C39" s="226"/>
      <c r="D39" s="226"/>
      <c r="E39" s="226"/>
      <c r="F39" s="17"/>
      <c r="G39" s="17"/>
      <c r="H39" s="227"/>
      <c r="I39" s="227"/>
      <c r="J39" s="227"/>
      <c r="K39" s="227"/>
      <c r="L39" s="227"/>
    </row>
  </sheetData>
  <mergeCells count="21">
    <mergeCell ref="C36:E36"/>
    <mergeCell ref="C37:E37"/>
    <mergeCell ref="C28:E28"/>
    <mergeCell ref="C29:E29"/>
    <mergeCell ref="C30:E30"/>
    <mergeCell ref="C31:E31"/>
    <mergeCell ref="C32:E32"/>
    <mergeCell ref="D33:E33"/>
    <mergeCell ref="C34:E34"/>
    <mergeCell ref="C35:E35"/>
    <mergeCell ref="F16:H16"/>
    <mergeCell ref="I16:K16"/>
    <mergeCell ref="F17:H18"/>
    <mergeCell ref="I17:K18"/>
    <mergeCell ref="B14:C14"/>
    <mergeCell ref="D14:E14"/>
    <mergeCell ref="F14:G14"/>
    <mergeCell ref="H14:I14"/>
    <mergeCell ref="J14:K14"/>
    <mergeCell ref="B15:E15"/>
    <mergeCell ref="C16:E18"/>
  </mergeCells>
  <conditionalFormatting sqref="F20:K24">
    <cfRule type="cellIs" dxfId="7" priority="10" operator="equal">
      <formula>0</formula>
    </cfRule>
  </conditionalFormatting>
  <conditionalFormatting sqref="F28:K31">
    <cfRule type="cellIs" dxfId="5" priority="9" operator="equal">
      <formula>0</formula>
    </cfRule>
  </conditionalFormatting>
  <conditionalFormatting sqref="F32:K32">
    <cfRule type="cellIs" dxfId="4" priority="1" operator="equal">
      <formula>"-"</formula>
    </cfRule>
  </conditionalFormatting>
  <conditionalFormatting sqref="F33:K33">
    <cfRule type="containsText" dxfId="2" priority="7" operator="containsText" text="Should">
      <formula>NOT(ISERROR(SEARCH("Should",F33)))</formula>
    </cfRule>
    <cfRule type="containsText" dxfId="1" priority="8" operator="containsText" text="Complete">
      <formula>NOT(ISERROR(SEARCH("Complete",F33)))</formula>
    </cfRule>
  </conditionalFormatting>
  <conditionalFormatting sqref="F35:K37">
    <cfRule type="cellIs" dxfId="0" priority="5" operator="equal">
      <formula>0</formula>
    </cfRule>
  </conditionalFormatting>
  <dataValidations count="1">
    <dataValidation type="whole" allowBlank="1" showInputMessage="1" showErrorMessage="1" error="Please enter a whole number of units." sqref="F28:K31" xr:uid="{3883970B-D7C2-495F-B270-C130CA1CBDB8}">
      <formula1>0</formula1>
      <formula2>1000</formula2>
    </dataValidation>
  </dataValidations>
  <pageMargins left="0.7" right="0.7" top="0.75" bottom="0.75" header="0.3" footer="0.3"/>
  <pageSetup scale="82" orientation="portrait" r:id="rId1"/>
  <colBreaks count="1" manualBreakCount="1">
    <brk id="10"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8220E683-A3F1-40C9-AE3E-39AF1CAA85EF}">
            <xm:f>NOT(ISERROR(SEARCH("-",C19)))</xm:f>
            <xm:f>"-"</xm:f>
            <x14:dxf>
              <font>
                <color theme="0" tint="-0.24994659260841701"/>
              </font>
              <fill>
                <patternFill>
                  <bgColor theme="0" tint="-4.9989318521683403E-2"/>
                </patternFill>
              </fill>
            </x14:dxf>
          </x14:cfRule>
          <xm:sqref>C19:E24</xm:sqref>
        </x14:conditionalFormatting>
        <x14:conditionalFormatting xmlns:xm="http://schemas.microsoft.com/office/excel/2006/main">
          <x14:cfRule type="containsText" priority="3" operator="containsText" id="{D52A7417-3457-4BEB-9696-8063CC94DDB7}">
            <xm:f>NOT(ISERROR(SEARCH("-",F19)))</xm:f>
            <xm:f>"-"</xm:f>
            <x14:dxf>
              <font>
                <color theme="0" tint="-0.24994659260841701"/>
              </font>
              <fill>
                <patternFill>
                  <bgColor theme="0" tint="-4.9989318521683403E-2"/>
                </patternFill>
              </fill>
            </x14:dxf>
          </x14:cfRule>
          <xm:sqref>F19:K19</xm:sqref>
        </x14:conditionalFormatting>
        <x14:conditionalFormatting xmlns:xm="http://schemas.microsoft.com/office/excel/2006/main">
          <x14:cfRule type="containsText" priority="2" operator="containsText" id="{91121280-B7CF-41BC-908A-9DF110C3DFDA}">
            <xm:f>NOT(ISERROR(SEARCH("-",F27)))</xm:f>
            <xm:f>"-"</xm:f>
            <x14:dxf>
              <font>
                <color theme="0" tint="-0.24994659260841701"/>
              </font>
              <fill>
                <patternFill>
                  <bgColor theme="0" tint="-4.9989318521683403E-2"/>
                </patternFill>
              </fill>
            </x14:dxf>
          </x14:cfRule>
          <xm:sqref>F27:K27</xm:sqref>
        </x14:conditionalFormatting>
        <x14:conditionalFormatting xmlns:xm="http://schemas.microsoft.com/office/excel/2006/main">
          <x14:cfRule type="containsText" priority="6" operator="containsText" id="{887B347A-71F2-40D1-A220-E248B89586DF}">
            <xm:f>NOT(ISERROR(SEARCH("-",F33)))</xm:f>
            <xm:f>"-"</xm:f>
            <x14:dxf>
              <font>
                <color theme="0" tint="-0.24994659260841701"/>
              </font>
              <fill>
                <patternFill>
                  <bgColor theme="0" tint="-4.9989318521683403E-2"/>
                </patternFill>
              </fill>
            </x14:dxf>
          </x14:cfRule>
          <xm:sqref>F33:K33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C155-B667-4A66-9617-72F057BFF3FA}">
  <sheetPr>
    <tabColor theme="9" tint="0.79998168889431442"/>
  </sheetPr>
  <dimension ref="A1:H9"/>
  <sheetViews>
    <sheetView showGridLines="0" zoomScaleNormal="100" workbookViewId="0">
      <selection activeCell="F26" sqref="F26"/>
    </sheetView>
  </sheetViews>
  <sheetFormatPr defaultColWidth="8.7109375" defaultRowHeight="15.75" x14ac:dyDescent="0.3"/>
  <cols>
    <col min="1" max="1" width="2.7109375" style="4" customWidth="1"/>
    <col min="2" max="2" width="15.7109375" style="4" bestFit="1" customWidth="1"/>
    <col min="3" max="3" width="12.28515625" style="4" customWidth="1"/>
    <col min="4" max="8" width="18" style="4" customWidth="1"/>
    <col min="9" max="11" width="12.28515625" style="4" customWidth="1"/>
    <col min="12" max="12" width="8.7109375" style="4"/>
    <col min="13" max="13" width="37" style="4" bestFit="1" customWidth="1"/>
    <col min="14" max="22" width="11.28515625" style="4" customWidth="1"/>
    <col min="23" max="16384" width="8.7109375" style="4"/>
  </cols>
  <sheetData>
    <row r="1" spans="1:8" ht="16.5" x14ac:dyDescent="0.3">
      <c r="A1" s="171" t="s">
        <v>79</v>
      </c>
    </row>
    <row r="2" spans="1:8" x14ac:dyDescent="0.3">
      <c r="B2" s="271" t="s">
        <v>164</v>
      </c>
    </row>
    <row r="3" spans="1:8" x14ac:dyDescent="0.3">
      <c r="C3" s="370" t="s">
        <v>80</v>
      </c>
      <c r="D3" s="368" t="s">
        <v>81</v>
      </c>
      <c r="E3" s="369"/>
      <c r="F3" s="368" t="s">
        <v>82</v>
      </c>
      <c r="G3" s="372"/>
      <c r="H3" s="369"/>
    </row>
    <row r="4" spans="1:8" ht="31.5" x14ac:dyDescent="0.3">
      <c r="C4" s="371"/>
      <c r="D4" s="176" t="s">
        <v>83</v>
      </c>
      <c r="E4" s="177" t="s">
        <v>36</v>
      </c>
      <c r="F4" s="176" t="s">
        <v>83</v>
      </c>
      <c r="G4" s="173" t="s">
        <v>84</v>
      </c>
      <c r="H4" s="177" t="s">
        <v>85</v>
      </c>
    </row>
    <row r="5" spans="1:8" x14ac:dyDescent="0.3">
      <c r="B5" s="172" t="s">
        <v>86</v>
      </c>
      <c r="C5" s="174">
        <v>2</v>
      </c>
      <c r="D5" s="178">
        <v>0.2</v>
      </c>
      <c r="E5" s="219">
        <v>421886.99</v>
      </c>
      <c r="F5" s="178">
        <v>0.2</v>
      </c>
      <c r="G5" s="219">
        <v>421886.99</v>
      </c>
      <c r="H5" s="219">
        <v>421886.99</v>
      </c>
    </row>
    <row r="6" spans="1:8" x14ac:dyDescent="0.3">
      <c r="B6" s="172" t="s">
        <v>87</v>
      </c>
      <c r="C6" s="174">
        <v>2</v>
      </c>
      <c r="D6" s="178">
        <v>0.2</v>
      </c>
      <c r="E6" s="219">
        <v>433835.52000000002</v>
      </c>
      <c r="F6" s="178">
        <v>0.2</v>
      </c>
      <c r="G6" s="221">
        <v>346651.59</v>
      </c>
      <c r="H6" s="219">
        <v>242840.85</v>
      </c>
    </row>
    <row r="7" spans="1:8" x14ac:dyDescent="0.3">
      <c r="B7" s="172" t="s">
        <v>29</v>
      </c>
      <c r="C7" s="174">
        <v>3</v>
      </c>
      <c r="D7" s="178">
        <v>0.15</v>
      </c>
      <c r="E7" s="219">
        <v>396921.8</v>
      </c>
      <c r="F7" s="178">
        <v>0.2</v>
      </c>
      <c r="G7" s="221">
        <v>396921.8</v>
      </c>
      <c r="H7" s="219">
        <v>315783.09999999998</v>
      </c>
    </row>
    <row r="8" spans="1:8" x14ac:dyDescent="0.3">
      <c r="B8" s="172" t="s">
        <v>68</v>
      </c>
      <c r="C8" s="174">
        <v>2</v>
      </c>
      <c r="D8" s="178">
        <v>0.2</v>
      </c>
      <c r="E8" s="219">
        <v>396921.8</v>
      </c>
      <c r="F8" s="178">
        <v>0.2</v>
      </c>
      <c r="G8" s="221">
        <v>396921.8</v>
      </c>
      <c r="H8" s="219">
        <v>396921.8</v>
      </c>
    </row>
    <row r="9" spans="1:8" x14ac:dyDescent="0.3">
      <c r="B9" s="172" t="s">
        <v>88</v>
      </c>
      <c r="C9" s="175">
        <v>2</v>
      </c>
      <c r="D9" s="179">
        <v>0.2</v>
      </c>
      <c r="E9" s="220">
        <v>396921.8</v>
      </c>
      <c r="F9" s="179">
        <v>0.2</v>
      </c>
      <c r="G9" s="222">
        <v>396921.8</v>
      </c>
      <c r="H9" s="220">
        <v>396921.8</v>
      </c>
    </row>
  </sheetData>
  <mergeCells count="3">
    <mergeCell ref="D3:E3"/>
    <mergeCell ref="C3:C4"/>
    <mergeCell ref="F3:H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V89"/>
  <sheetViews>
    <sheetView showGridLines="0" topLeftCell="A65" zoomScaleNormal="100" workbookViewId="0">
      <selection activeCell="G59" sqref="F59:G59"/>
    </sheetView>
  </sheetViews>
  <sheetFormatPr defaultColWidth="8.7109375" defaultRowHeight="15.75" x14ac:dyDescent="0.3"/>
  <cols>
    <col min="1" max="1" width="2.7109375" style="4" customWidth="1"/>
    <col min="2" max="2" width="24.42578125" style="4" customWidth="1"/>
    <col min="3" max="11" width="12.28515625" style="4" customWidth="1"/>
    <col min="12" max="12" width="8.7109375" style="4"/>
    <col min="13" max="13" width="37" style="4" bestFit="1" customWidth="1"/>
    <col min="14" max="22" width="11.28515625" style="4" customWidth="1"/>
    <col min="23" max="16384" width="8.7109375" style="4"/>
  </cols>
  <sheetData>
    <row r="1" spans="1:3" ht="16.5" x14ac:dyDescent="0.3">
      <c r="A1" s="171" t="s">
        <v>89</v>
      </c>
    </row>
    <row r="3" spans="1:3" x14ac:dyDescent="0.3">
      <c r="A3" s="160"/>
      <c r="B3" s="2" t="s">
        <v>90</v>
      </c>
    </row>
    <row r="4" spans="1:3" x14ac:dyDescent="0.3">
      <c r="B4" s="4" t="s">
        <v>91</v>
      </c>
    </row>
    <row r="5" spans="1:3" x14ac:dyDescent="0.3">
      <c r="B5" s="4" t="s">
        <v>70</v>
      </c>
    </row>
    <row r="6" spans="1:3" x14ac:dyDescent="0.3">
      <c r="B6" s="4" t="s">
        <v>72</v>
      </c>
    </row>
    <row r="8" spans="1:3" x14ac:dyDescent="0.3">
      <c r="A8" s="160"/>
      <c r="B8" s="2" t="s">
        <v>92</v>
      </c>
      <c r="C8" s="66" t="s">
        <v>93</v>
      </c>
    </row>
    <row r="9" spans="1:3" x14ac:dyDescent="0.3">
      <c r="B9" s="4" t="s">
        <v>86</v>
      </c>
      <c r="C9" s="13">
        <v>1</v>
      </c>
    </row>
    <row r="10" spans="1:3" x14ac:dyDescent="0.3">
      <c r="B10" s="4" t="s">
        <v>87</v>
      </c>
      <c r="C10" s="13">
        <v>2</v>
      </c>
    </row>
    <row r="11" spans="1:3" x14ac:dyDescent="0.3">
      <c r="B11" s="4" t="s">
        <v>29</v>
      </c>
      <c r="C11" s="13">
        <v>3</v>
      </c>
    </row>
    <row r="12" spans="1:3" x14ac:dyDescent="0.3">
      <c r="B12" s="4" t="s">
        <v>68</v>
      </c>
      <c r="C12" s="13">
        <v>4</v>
      </c>
    </row>
    <row r="13" spans="1:3" x14ac:dyDescent="0.3">
      <c r="B13" s="4" t="s">
        <v>88</v>
      </c>
      <c r="C13" s="13">
        <v>5</v>
      </c>
    </row>
    <row r="16" spans="1:3" x14ac:dyDescent="0.3">
      <c r="A16" s="160"/>
      <c r="B16" s="2" t="s">
        <v>46</v>
      </c>
    </row>
    <row r="17" spans="1:22" x14ac:dyDescent="0.3">
      <c r="B17" s="180" t="s">
        <v>94</v>
      </c>
      <c r="C17" s="181"/>
      <c r="D17" s="181"/>
      <c r="E17" s="181"/>
      <c r="F17" s="181"/>
      <c r="G17" s="181"/>
      <c r="H17" s="181"/>
      <c r="I17" s="181"/>
      <c r="J17" s="181"/>
      <c r="K17" s="181"/>
      <c r="M17" s="180" t="s">
        <v>95</v>
      </c>
      <c r="N17" s="181"/>
      <c r="O17" s="181"/>
      <c r="P17" s="181"/>
      <c r="Q17" s="181"/>
      <c r="R17" s="181"/>
      <c r="S17" s="181"/>
      <c r="T17" s="181"/>
      <c r="U17" s="181"/>
      <c r="V17" s="181"/>
    </row>
    <row r="18" spans="1:22" x14ac:dyDescent="0.3">
      <c r="B18" s="2" t="s">
        <v>27</v>
      </c>
      <c r="C18" s="66" t="s">
        <v>93</v>
      </c>
      <c r="M18" s="2" t="s">
        <v>27</v>
      </c>
      <c r="N18" s="66" t="s">
        <v>93</v>
      </c>
    </row>
    <row r="19" spans="1:22" x14ac:dyDescent="0.3">
      <c r="B19" s="4" t="str">
        <f>'Worksheet for RENTAL'!B6</f>
        <v>Marin County</v>
      </c>
      <c r="C19" s="13">
        <f>VLOOKUP(B19,$B$9:$C$13,2,FALSE)</f>
        <v>1</v>
      </c>
      <c r="M19" s="4" t="str">
        <f>'Worksheet for OWNERSHIP'!$B$6</f>
        <v>Marin County</v>
      </c>
      <c r="N19" s="13">
        <f>VLOOKUP(M19,$B$9:$C$13,2,FALSE)</f>
        <v>1</v>
      </c>
    </row>
    <row r="21" spans="1:22" x14ac:dyDescent="0.3">
      <c r="B21" s="2" t="s">
        <v>91</v>
      </c>
      <c r="M21" s="2" t="s">
        <v>96</v>
      </c>
    </row>
    <row r="22" spans="1:22" x14ac:dyDescent="0.3">
      <c r="B22" s="40"/>
      <c r="C22" s="373" t="s">
        <v>97</v>
      </c>
      <c r="D22" s="373"/>
      <c r="E22" s="374"/>
      <c r="F22" s="373" t="s">
        <v>98</v>
      </c>
      <c r="G22" s="373"/>
      <c r="H22" s="374"/>
      <c r="I22" s="373" t="s">
        <v>99</v>
      </c>
      <c r="J22" s="373"/>
      <c r="K22" s="374"/>
      <c r="M22" s="40"/>
      <c r="N22" s="373" t="s">
        <v>100</v>
      </c>
      <c r="O22" s="373"/>
      <c r="P22" s="374"/>
      <c r="Q22" s="373" t="s">
        <v>101</v>
      </c>
      <c r="R22" s="373"/>
      <c r="S22" s="374"/>
      <c r="T22" s="373" t="s">
        <v>102</v>
      </c>
      <c r="U22" s="373"/>
      <c r="V22" s="374"/>
    </row>
    <row r="23" spans="1:22" x14ac:dyDescent="0.3">
      <c r="B23" s="161"/>
      <c r="C23" s="162" t="s">
        <v>103</v>
      </c>
      <c r="D23" s="163" t="s">
        <v>104</v>
      </c>
      <c r="E23" s="164" t="s">
        <v>105</v>
      </c>
      <c r="F23" s="162" t="s">
        <v>103</v>
      </c>
      <c r="G23" s="163" t="s">
        <v>104</v>
      </c>
      <c r="H23" s="164" t="s">
        <v>105</v>
      </c>
      <c r="I23" s="162" t="s">
        <v>103</v>
      </c>
      <c r="J23" s="163" t="s">
        <v>104</v>
      </c>
      <c r="K23" s="164" t="s">
        <v>105</v>
      </c>
      <c r="M23" s="161"/>
      <c r="N23" s="162" t="s">
        <v>103</v>
      </c>
      <c r="O23" s="163" t="s">
        <v>104</v>
      </c>
      <c r="P23" s="164" t="s">
        <v>105</v>
      </c>
      <c r="Q23" s="162" t="s">
        <v>103</v>
      </c>
      <c r="R23" s="163" t="s">
        <v>104</v>
      </c>
      <c r="S23" s="164" t="s">
        <v>105</v>
      </c>
      <c r="T23" s="162" t="s">
        <v>103</v>
      </c>
      <c r="U23" s="163" t="s">
        <v>104</v>
      </c>
      <c r="V23" s="164" t="s">
        <v>105</v>
      </c>
    </row>
    <row r="24" spans="1:22" x14ac:dyDescent="0.3">
      <c r="B24" s="165" t="s">
        <v>106</v>
      </c>
      <c r="C24" s="38"/>
      <c r="D24" s="166"/>
      <c r="E24" s="167"/>
      <c r="F24" s="38"/>
      <c r="G24" s="38"/>
      <c r="H24" s="41"/>
      <c r="I24" s="38"/>
      <c r="J24" s="38"/>
      <c r="K24" s="41"/>
      <c r="M24" s="165" t="s">
        <v>106</v>
      </c>
      <c r="N24" s="38"/>
      <c r="O24" s="166"/>
      <c r="P24" s="167"/>
      <c r="Q24" s="38"/>
      <c r="R24" s="38"/>
      <c r="S24" s="41"/>
      <c r="T24" s="38"/>
      <c r="U24" s="38"/>
      <c r="V24" s="41"/>
    </row>
    <row r="25" spans="1:22" x14ac:dyDescent="0.3">
      <c r="B25" s="168" t="s">
        <v>51</v>
      </c>
      <c r="C25" s="39">
        <f t="shared" ref="C25:K28" ca="1" si="0">OFFSET(C25,$C$19*12,0)</f>
        <v>0.1</v>
      </c>
      <c r="D25" s="39">
        <f t="shared" ca="1" si="0"/>
        <v>0</v>
      </c>
      <c r="E25" s="42" t="str">
        <f t="shared" ca="1" si="0"/>
        <v>n/a</v>
      </c>
      <c r="F25" s="39">
        <f t="shared" ca="1" si="0"/>
        <v>0.1</v>
      </c>
      <c r="G25" s="39">
        <f t="shared" ca="1" si="0"/>
        <v>0</v>
      </c>
      <c r="H25" s="42" t="str">
        <f t="shared" ca="1" si="0"/>
        <v>n/a</v>
      </c>
      <c r="I25" s="39">
        <f t="shared" ca="1" si="0"/>
        <v>0.15</v>
      </c>
      <c r="J25" s="39">
        <f t="shared" ca="1" si="0"/>
        <v>0.15</v>
      </c>
      <c r="K25" s="42">
        <f t="shared" ca="1" si="0"/>
        <v>0.1</v>
      </c>
      <c r="M25" s="168" t="s">
        <v>52</v>
      </c>
      <c r="N25" s="39">
        <f t="shared" ref="N25:V28" ca="1" si="1">OFFSET(N25,$N$19*12,0)</f>
        <v>0</v>
      </c>
      <c r="O25" s="39" t="str">
        <f t="shared" ca="1" si="1"/>
        <v>n/a</v>
      </c>
      <c r="P25" s="42" t="str">
        <f t="shared" ca="1" si="1"/>
        <v>n/a</v>
      </c>
      <c r="Q25" s="39">
        <f t="shared" ca="1" si="1"/>
        <v>0.05</v>
      </c>
      <c r="R25" s="39" t="str">
        <f t="shared" ca="1" si="1"/>
        <v>n/a</v>
      </c>
      <c r="S25" s="42" t="str">
        <f t="shared" ca="1" si="1"/>
        <v>n/a</v>
      </c>
      <c r="T25" s="39">
        <f t="shared" ca="1" si="1"/>
        <v>0.05</v>
      </c>
      <c r="U25" s="39" t="str">
        <f t="shared" ca="1" si="1"/>
        <v>n/a</v>
      </c>
      <c r="V25" s="42" t="str">
        <f t="shared" ca="1" si="1"/>
        <v>n/a</v>
      </c>
    </row>
    <row r="26" spans="1:22" x14ac:dyDescent="0.3">
      <c r="B26" s="168" t="s">
        <v>52</v>
      </c>
      <c r="C26" s="39">
        <f t="shared" ca="1" si="0"/>
        <v>0</v>
      </c>
      <c r="D26" s="39">
        <f t="shared" ca="1" si="0"/>
        <v>0.15</v>
      </c>
      <c r="E26" s="42" t="str">
        <f t="shared" ca="1" si="0"/>
        <v>n/a</v>
      </c>
      <c r="F26" s="39">
        <f t="shared" ca="1" si="0"/>
        <v>0</v>
      </c>
      <c r="G26" s="39">
        <f t="shared" ca="1" si="0"/>
        <v>0.15</v>
      </c>
      <c r="H26" s="42" t="str">
        <f t="shared" ca="1" si="0"/>
        <v>n/a</v>
      </c>
      <c r="I26" s="39">
        <f t="shared" ca="1" si="0"/>
        <v>0</v>
      </c>
      <c r="J26" s="39">
        <f t="shared" ca="1" si="0"/>
        <v>0</v>
      </c>
      <c r="K26" s="42">
        <f t="shared" ca="1" si="0"/>
        <v>0.05</v>
      </c>
      <c r="M26" s="168" t="s">
        <v>53</v>
      </c>
      <c r="N26" s="39">
        <f t="shared" ca="1" si="1"/>
        <v>0</v>
      </c>
      <c r="O26" s="39" t="str">
        <f t="shared" ca="1" si="1"/>
        <v>n/a</v>
      </c>
      <c r="P26" s="42" t="str">
        <f t="shared" ca="1" si="1"/>
        <v>n/a</v>
      </c>
      <c r="Q26" s="39">
        <f t="shared" ca="1" si="1"/>
        <v>0.05</v>
      </c>
      <c r="R26" s="39" t="str">
        <f t="shared" ca="1" si="1"/>
        <v>n/a</v>
      </c>
      <c r="S26" s="42" t="str">
        <f t="shared" ca="1" si="1"/>
        <v>n/a</v>
      </c>
      <c r="T26" s="39">
        <f t="shared" ca="1" si="1"/>
        <v>0.1</v>
      </c>
      <c r="U26" s="39" t="str">
        <f t="shared" ca="1" si="1"/>
        <v>n/a</v>
      </c>
      <c r="V26" s="42" t="str">
        <f t="shared" ca="1" si="1"/>
        <v>n/a</v>
      </c>
    </row>
    <row r="27" spans="1:22" x14ac:dyDescent="0.3">
      <c r="B27" s="168" t="s">
        <v>53</v>
      </c>
      <c r="C27" s="39">
        <f t="shared" ca="1" si="0"/>
        <v>0</v>
      </c>
      <c r="D27" s="39">
        <f t="shared" ca="1" si="0"/>
        <v>0</v>
      </c>
      <c r="E27" s="42" t="str">
        <f t="shared" ca="1" si="0"/>
        <v>n/a</v>
      </c>
      <c r="F27" s="39">
        <f t="shared" ca="1" si="0"/>
        <v>0.1</v>
      </c>
      <c r="G27" s="39">
        <f t="shared" ca="1" si="0"/>
        <v>0.05</v>
      </c>
      <c r="H27" s="42" t="str">
        <f t="shared" ca="1" si="0"/>
        <v>n/a</v>
      </c>
      <c r="I27" s="39">
        <f t="shared" ca="1" si="0"/>
        <v>0.05</v>
      </c>
      <c r="J27" s="39">
        <f t="shared" ca="1" si="0"/>
        <v>0</v>
      </c>
      <c r="K27" s="42">
        <f t="shared" ca="1" si="0"/>
        <v>0.05</v>
      </c>
      <c r="M27" s="168" t="s">
        <v>76</v>
      </c>
      <c r="N27" s="39">
        <f t="shared" ca="1" si="1"/>
        <v>0.2</v>
      </c>
      <c r="O27" s="39" t="str">
        <f t="shared" ca="1" si="1"/>
        <v>n/a</v>
      </c>
      <c r="P27" s="42" t="str">
        <f t="shared" ca="1" si="1"/>
        <v>n/a</v>
      </c>
      <c r="Q27" s="39">
        <f t="shared" ca="1" si="1"/>
        <v>0.1</v>
      </c>
      <c r="R27" s="39" t="str">
        <f t="shared" ca="1" si="1"/>
        <v>n/a</v>
      </c>
      <c r="S27" s="42" t="str">
        <f t="shared" ca="1" si="1"/>
        <v>n/a</v>
      </c>
      <c r="T27" s="39">
        <f t="shared" ca="1" si="1"/>
        <v>0.05</v>
      </c>
      <c r="U27" s="39" t="str">
        <f t="shared" ca="1" si="1"/>
        <v>n/a</v>
      </c>
      <c r="V27" s="42" t="str">
        <f t="shared" ca="1" si="1"/>
        <v>n/a</v>
      </c>
    </row>
    <row r="28" spans="1:22" x14ac:dyDescent="0.3">
      <c r="B28" s="165" t="s">
        <v>107</v>
      </c>
      <c r="C28" s="39">
        <f t="shared" ca="1" si="0"/>
        <v>0.1</v>
      </c>
      <c r="D28" s="39">
        <f t="shared" ca="1" si="0"/>
        <v>0.05</v>
      </c>
      <c r="E28" s="42" t="str">
        <f t="shared" ca="1" si="0"/>
        <v>n/a</v>
      </c>
      <c r="F28" s="39">
        <f t="shared" ca="1" si="0"/>
        <v>0</v>
      </c>
      <c r="G28" s="39">
        <f t="shared" ca="1" si="0"/>
        <v>0</v>
      </c>
      <c r="H28" s="42" t="str">
        <f t="shared" ca="1" si="0"/>
        <v>n/a</v>
      </c>
      <c r="I28" s="39">
        <f t="shared" ca="1" si="0"/>
        <v>0</v>
      </c>
      <c r="J28" s="39">
        <f t="shared" ca="1" si="0"/>
        <v>0.05</v>
      </c>
      <c r="K28" s="42">
        <f t="shared" ca="1" si="0"/>
        <v>0</v>
      </c>
      <c r="M28" s="165" t="s">
        <v>107</v>
      </c>
      <c r="N28" s="39">
        <f t="shared" ca="1" si="1"/>
        <v>0</v>
      </c>
      <c r="O28" s="39" t="str">
        <f t="shared" ca="1" si="1"/>
        <v>n/a</v>
      </c>
      <c r="P28" s="42" t="str">
        <f t="shared" ca="1" si="1"/>
        <v>n/a</v>
      </c>
      <c r="Q28" s="39">
        <f t="shared" ca="1" si="1"/>
        <v>0</v>
      </c>
      <c r="R28" s="39" t="str">
        <f t="shared" ca="1" si="1"/>
        <v>n/a</v>
      </c>
      <c r="S28" s="42" t="str">
        <f t="shared" ca="1" si="1"/>
        <v>n/a</v>
      </c>
      <c r="T28" s="39">
        <f t="shared" ca="1" si="1"/>
        <v>0</v>
      </c>
      <c r="U28" s="39" t="str">
        <f t="shared" ca="1" si="1"/>
        <v>n/a</v>
      </c>
      <c r="V28" s="42" t="str">
        <f t="shared" ca="1" si="1"/>
        <v>n/a</v>
      </c>
    </row>
    <row r="29" spans="1:22" x14ac:dyDescent="0.3">
      <c r="B29" s="169"/>
      <c r="C29" s="37"/>
      <c r="D29" s="37"/>
      <c r="E29" s="170"/>
      <c r="F29" s="37"/>
      <c r="G29" s="37"/>
      <c r="H29" s="37"/>
      <c r="I29" s="37"/>
      <c r="J29" s="37"/>
      <c r="K29" s="43"/>
    </row>
    <row r="30" spans="1:22" ht="16.5" thickBot="1" x14ac:dyDescent="0.35">
      <c r="A30" s="160"/>
      <c r="B30" s="8" t="s">
        <v>108</v>
      </c>
      <c r="C30" s="158"/>
      <c r="D30" s="158"/>
      <c r="E30" s="158"/>
      <c r="F30" s="158"/>
      <c r="G30" s="158"/>
      <c r="H30" s="158"/>
      <c r="I30" s="158"/>
      <c r="J30" s="158"/>
      <c r="K30" s="158"/>
      <c r="L30" s="158"/>
      <c r="M30" s="158"/>
      <c r="N30" s="158"/>
      <c r="O30" s="158"/>
      <c r="P30" s="158"/>
      <c r="Q30" s="158"/>
      <c r="R30" s="158"/>
      <c r="S30" s="158"/>
      <c r="T30" s="158"/>
      <c r="U30" s="158"/>
      <c r="V30" s="158"/>
    </row>
    <row r="31" spans="1:22" x14ac:dyDescent="0.3">
      <c r="B31" s="2" t="s">
        <v>86</v>
      </c>
    </row>
    <row r="32" spans="1:22" ht="3" customHeight="1" x14ac:dyDescent="0.3"/>
    <row r="33" spans="2:22" x14ac:dyDescent="0.3">
      <c r="B33" s="2" t="s">
        <v>91</v>
      </c>
      <c r="M33" s="2" t="s">
        <v>96</v>
      </c>
    </row>
    <row r="34" spans="2:22" x14ac:dyDescent="0.3">
      <c r="B34" s="40"/>
      <c r="C34" s="373" t="s">
        <v>97</v>
      </c>
      <c r="D34" s="373"/>
      <c r="E34" s="374"/>
      <c r="F34" s="373" t="s">
        <v>98</v>
      </c>
      <c r="G34" s="373"/>
      <c r="H34" s="374"/>
      <c r="I34" s="373" t="s">
        <v>109</v>
      </c>
      <c r="J34" s="373"/>
      <c r="K34" s="374"/>
      <c r="M34" s="40"/>
      <c r="N34" s="373" t="s">
        <v>100</v>
      </c>
      <c r="O34" s="373"/>
      <c r="P34" s="374"/>
      <c r="Q34" s="373" t="s">
        <v>110</v>
      </c>
      <c r="R34" s="373"/>
      <c r="S34" s="374"/>
      <c r="T34" s="373" t="s">
        <v>111</v>
      </c>
      <c r="U34" s="373"/>
      <c r="V34" s="374"/>
    </row>
    <row r="35" spans="2:22" x14ac:dyDescent="0.3">
      <c r="B35" s="161"/>
      <c r="C35" s="162" t="s">
        <v>103</v>
      </c>
      <c r="D35" s="163" t="s">
        <v>104</v>
      </c>
      <c r="E35" s="164" t="s">
        <v>105</v>
      </c>
      <c r="F35" s="162" t="s">
        <v>103</v>
      </c>
      <c r="G35" s="163" t="s">
        <v>104</v>
      </c>
      <c r="H35" s="164" t="s">
        <v>105</v>
      </c>
      <c r="I35" s="162" t="s">
        <v>103</v>
      </c>
      <c r="J35" s="163" t="s">
        <v>104</v>
      </c>
      <c r="K35" s="164" t="s">
        <v>105</v>
      </c>
      <c r="M35" s="161"/>
      <c r="N35" s="162" t="s">
        <v>103</v>
      </c>
      <c r="O35" s="163" t="s">
        <v>104</v>
      </c>
      <c r="P35" s="164" t="s">
        <v>105</v>
      </c>
      <c r="Q35" s="162" t="s">
        <v>103</v>
      </c>
      <c r="R35" s="163" t="s">
        <v>104</v>
      </c>
      <c r="S35" s="164" t="s">
        <v>105</v>
      </c>
      <c r="T35" s="162" t="s">
        <v>103</v>
      </c>
      <c r="U35" s="163" t="s">
        <v>104</v>
      </c>
      <c r="V35" s="164" t="s">
        <v>105</v>
      </c>
    </row>
    <row r="36" spans="2:22" x14ac:dyDescent="0.3">
      <c r="B36" s="165" t="s">
        <v>106</v>
      </c>
      <c r="C36" s="38"/>
      <c r="D36" s="166"/>
      <c r="E36" s="167"/>
      <c r="F36" s="38"/>
      <c r="G36" s="38"/>
      <c r="H36" s="41"/>
      <c r="I36" s="38"/>
      <c r="J36" s="38"/>
      <c r="K36" s="41"/>
      <c r="M36" s="165" t="s">
        <v>106</v>
      </c>
      <c r="N36" s="38"/>
      <c r="O36" s="166"/>
      <c r="P36" s="167"/>
      <c r="Q36" s="38"/>
      <c r="R36" s="38"/>
      <c r="S36" s="41"/>
      <c r="T36" s="38"/>
      <c r="U36" s="38"/>
      <c r="V36" s="41"/>
    </row>
    <row r="37" spans="2:22" x14ac:dyDescent="0.3">
      <c r="B37" s="168" t="s">
        <v>51</v>
      </c>
      <c r="C37" s="39">
        <v>0.1</v>
      </c>
      <c r="D37" s="39">
        <v>0</v>
      </c>
      <c r="E37" s="42" t="s">
        <v>112</v>
      </c>
      <c r="F37" s="39">
        <v>0.1</v>
      </c>
      <c r="G37" s="39">
        <v>0</v>
      </c>
      <c r="H37" s="42" t="s">
        <v>112</v>
      </c>
      <c r="I37" s="39">
        <v>0.15</v>
      </c>
      <c r="J37" s="39">
        <v>0.15</v>
      </c>
      <c r="K37" s="42">
        <v>0.1</v>
      </c>
      <c r="M37" s="168" t="s">
        <v>52</v>
      </c>
      <c r="N37" s="39">
        <v>0</v>
      </c>
      <c r="O37" s="39" t="s">
        <v>112</v>
      </c>
      <c r="P37" s="42" t="s">
        <v>112</v>
      </c>
      <c r="Q37" s="39">
        <v>0.05</v>
      </c>
      <c r="R37" s="39" t="s">
        <v>112</v>
      </c>
      <c r="S37" s="42" t="s">
        <v>112</v>
      </c>
      <c r="T37" s="39">
        <v>0.05</v>
      </c>
      <c r="U37" s="39" t="s">
        <v>112</v>
      </c>
      <c r="V37" s="42" t="s">
        <v>112</v>
      </c>
    </row>
    <row r="38" spans="2:22" x14ac:dyDescent="0.3">
      <c r="B38" s="168" t="s">
        <v>52</v>
      </c>
      <c r="C38" s="39">
        <v>0</v>
      </c>
      <c r="D38" s="39">
        <v>0.15</v>
      </c>
      <c r="E38" s="42" t="s">
        <v>112</v>
      </c>
      <c r="F38" s="39">
        <v>0</v>
      </c>
      <c r="G38" s="39">
        <v>0.15</v>
      </c>
      <c r="H38" s="42" t="s">
        <v>112</v>
      </c>
      <c r="I38" s="39">
        <v>0</v>
      </c>
      <c r="J38" s="39">
        <v>0</v>
      </c>
      <c r="K38" s="42">
        <v>0.05</v>
      </c>
      <c r="M38" s="168" t="s">
        <v>53</v>
      </c>
      <c r="N38" s="39">
        <v>0</v>
      </c>
      <c r="O38" s="39" t="s">
        <v>112</v>
      </c>
      <c r="P38" s="42" t="s">
        <v>112</v>
      </c>
      <c r="Q38" s="39">
        <v>0.05</v>
      </c>
      <c r="R38" s="39" t="s">
        <v>112</v>
      </c>
      <c r="S38" s="42" t="s">
        <v>112</v>
      </c>
      <c r="T38" s="39">
        <v>0.1</v>
      </c>
      <c r="U38" s="39" t="s">
        <v>112</v>
      </c>
      <c r="V38" s="42" t="s">
        <v>112</v>
      </c>
    </row>
    <row r="39" spans="2:22" x14ac:dyDescent="0.3">
      <c r="B39" s="168" t="s">
        <v>53</v>
      </c>
      <c r="C39" s="39">
        <v>0</v>
      </c>
      <c r="D39" s="39">
        <v>0</v>
      </c>
      <c r="E39" s="42" t="s">
        <v>112</v>
      </c>
      <c r="F39" s="39">
        <v>0.1</v>
      </c>
      <c r="G39" s="39">
        <v>0.05</v>
      </c>
      <c r="H39" s="42" t="s">
        <v>112</v>
      </c>
      <c r="I39" s="39">
        <v>0.05</v>
      </c>
      <c r="J39" s="39">
        <v>0</v>
      </c>
      <c r="K39" s="42">
        <v>0.05</v>
      </c>
      <c r="M39" s="168" t="s">
        <v>76</v>
      </c>
      <c r="N39" s="39">
        <v>0.2</v>
      </c>
      <c r="O39" s="39" t="s">
        <v>112</v>
      </c>
      <c r="P39" s="42" t="s">
        <v>112</v>
      </c>
      <c r="Q39" s="39">
        <v>0.1</v>
      </c>
      <c r="R39" s="39" t="s">
        <v>112</v>
      </c>
      <c r="S39" s="42" t="s">
        <v>112</v>
      </c>
      <c r="T39" s="39">
        <v>0.05</v>
      </c>
      <c r="U39" s="39" t="s">
        <v>112</v>
      </c>
      <c r="V39" s="42" t="s">
        <v>112</v>
      </c>
    </row>
    <row r="40" spans="2:22" x14ac:dyDescent="0.3">
      <c r="B40" s="165" t="s">
        <v>36</v>
      </c>
      <c r="C40" s="39">
        <v>0.1</v>
      </c>
      <c r="D40" s="39">
        <v>0.05</v>
      </c>
      <c r="E40" s="42" t="s">
        <v>112</v>
      </c>
      <c r="F40" s="39">
        <v>0</v>
      </c>
      <c r="G40" s="39">
        <v>0</v>
      </c>
      <c r="H40" s="42" t="s">
        <v>112</v>
      </c>
      <c r="I40" s="39">
        <v>0</v>
      </c>
      <c r="J40" s="39">
        <v>0.05</v>
      </c>
      <c r="K40" s="42">
        <v>0</v>
      </c>
      <c r="M40" s="165" t="s">
        <v>36</v>
      </c>
      <c r="N40" s="39">
        <v>0</v>
      </c>
      <c r="O40" s="39" t="s">
        <v>112</v>
      </c>
      <c r="P40" s="42" t="s">
        <v>112</v>
      </c>
      <c r="Q40" s="39">
        <v>0</v>
      </c>
      <c r="R40" s="39" t="s">
        <v>112</v>
      </c>
      <c r="S40" s="42" t="s">
        <v>112</v>
      </c>
      <c r="T40" s="39">
        <v>0</v>
      </c>
      <c r="U40" s="39" t="s">
        <v>112</v>
      </c>
      <c r="V40" s="42" t="s">
        <v>112</v>
      </c>
    </row>
    <row r="41" spans="2:22" x14ac:dyDescent="0.3">
      <c r="B41" s="169"/>
      <c r="C41" s="37"/>
      <c r="D41" s="37"/>
      <c r="E41" s="170"/>
      <c r="F41" s="37"/>
      <c r="G41" s="37"/>
      <c r="H41" s="37"/>
      <c r="I41" s="37"/>
      <c r="J41" s="37"/>
      <c r="K41" s="43"/>
    </row>
    <row r="43" spans="2:22" x14ac:dyDescent="0.3">
      <c r="B43" s="2" t="s">
        <v>87</v>
      </c>
    </row>
    <row r="45" spans="2:22" x14ac:dyDescent="0.3">
      <c r="B45" s="2" t="s">
        <v>91</v>
      </c>
      <c r="M45" s="2" t="s">
        <v>96</v>
      </c>
    </row>
    <row r="46" spans="2:22" x14ac:dyDescent="0.3">
      <c r="B46" s="40"/>
      <c r="C46" s="373" t="s">
        <v>97</v>
      </c>
      <c r="D46" s="373"/>
      <c r="E46" s="374"/>
      <c r="F46" s="373" t="s">
        <v>98</v>
      </c>
      <c r="G46" s="373"/>
      <c r="H46" s="374"/>
      <c r="I46" s="373" t="s">
        <v>109</v>
      </c>
      <c r="J46" s="373"/>
      <c r="K46" s="374"/>
      <c r="M46" s="40"/>
      <c r="N46" s="373" t="s">
        <v>100</v>
      </c>
      <c r="O46" s="373"/>
      <c r="P46" s="374"/>
      <c r="Q46" s="373" t="s">
        <v>110</v>
      </c>
      <c r="R46" s="373"/>
      <c r="S46" s="374"/>
      <c r="T46" s="373" t="s">
        <v>111</v>
      </c>
      <c r="U46" s="373"/>
      <c r="V46" s="374"/>
    </row>
    <row r="47" spans="2:22" x14ac:dyDescent="0.3">
      <c r="B47" s="161"/>
      <c r="C47" s="162" t="s">
        <v>103</v>
      </c>
      <c r="D47" s="163" t="s">
        <v>104</v>
      </c>
      <c r="E47" s="164" t="s">
        <v>105</v>
      </c>
      <c r="F47" s="162" t="s">
        <v>103</v>
      </c>
      <c r="G47" s="163" t="s">
        <v>104</v>
      </c>
      <c r="H47" s="164" t="s">
        <v>105</v>
      </c>
      <c r="I47" s="162" t="s">
        <v>103</v>
      </c>
      <c r="J47" s="163" t="s">
        <v>104</v>
      </c>
      <c r="K47" s="164" t="s">
        <v>105</v>
      </c>
      <c r="M47" s="161"/>
      <c r="N47" s="162" t="s">
        <v>103</v>
      </c>
      <c r="O47" s="163" t="s">
        <v>104</v>
      </c>
      <c r="P47" s="164" t="s">
        <v>105</v>
      </c>
      <c r="Q47" s="162" t="s">
        <v>103</v>
      </c>
      <c r="R47" s="163" t="s">
        <v>104</v>
      </c>
      <c r="S47" s="164" t="s">
        <v>105</v>
      </c>
      <c r="T47" s="162" t="s">
        <v>103</v>
      </c>
      <c r="U47" s="163" t="s">
        <v>104</v>
      </c>
      <c r="V47" s="164" t="s">
        <v>105</v>
      </c>
    </row>
    <row r="48" spans="2:22" x14ac:dyDescent="0.3">
      <c r="B48" s="165" t="s">
        <v>106</v>
      </c>
      <c r="C48" s="38"/>
      <c r="D48" s="166"/>
      <c r="E48" s="167"/>
      <c r="F48" s="38"/>
      <c r="G48" s="38"/>
      <c r="H48" s="41"/>
      <c r="I48" s="38"/>
      <c r="J48" s="38"/>
      <c r="K48" s="41"/>
      <c r="M48" s="165" t="s">
        <v>106</v>
      </c>
      <c r="N48" s="38"/>
      <c r="O48" s="166"/>
      <c r="P48" s="167"/>
      <c r="Q48" s="38"/>
      <c r="R48" s="38"/>
      <c r="S48" s="41"/>
      <c r="T48" s="38"/>
      <c r="U48" s="38"/>
      <c r="V48" s="41"/>
    </row>
    <row r="49" spans="2:22" x14ac:dyDescent="0.3">
      <c r="B49" s="168" t="s">
        <v>51</v>
      </c>
      <c r="C49" s="39">
        <v>0.1</v>
      </c>
      <c r="D49" s="39">
        <v>0</v>
      </c>
      <c r="E49" s="42" t="s">
        <v>112</v>
      </c>
      <c r="F49" s="39">
        <v>0.1</v>
      </c>
      <c r="G49" s="39">
        <v>0</v>
      </c>
      <c r="H49" s="42" t="s">
        <v>112</v>
      </c>
      <c r="I49" s="39">
        <v>0.15</v>
      </c>
      <c r="J49" s="39">
        <v>0.1</v>
      </c>
      <c r="K49" s="42" t="s">
        <v>112</v>
      </c>
      <c r="M49" s="168" t="s">
        <v>52</v>
      </c>
      <c r="N49" s="39">
        <v>0</v>
      </c>
      <c r="O49" s="39" t="s">
        <v>112</v>
      </c>
      <c r="P49" s="42" t="s">
        <v>112</v>
      </c>
      <c r="Q49" s="39">
        <v>0.05</v>
      </c>
      <c r="R49" s="39" t="s">
        <v>112</v>
      </c>
      <c r="S49" s="42" t="s">
        <v>112</v>
      </c>
      <c r="T49" s="39">
        <v>0.05</v>
      </c>
      <c r="U49" s="39" t="s">
        <v>112</v>
      </c>
      <c r="V49" s="42" t="s">
        <v>112</v>
      </c>
    </row>
    <row r="50" spans="2:22" x14ac:dyDescent="0.3">
      <c r="B50" s="168" t="s">
        <v>52</v>
      </c>
      <c r="C50" s="39">
        <v>0</v>
      </c>
      <c r="D50" s="39">
        <v>0.15</v>
      </c>
      <c r="E50" s="42" t="s">
        <v>112</v>
      </c>
      <c r="F50" s="39">
        <v>0</v>
      </c>
      <c r="G50" s="39">
        <v>0.15</v>
      </c>
      <c r="H50" s="42" t="s">
        <v>112</v>
      </c>
      <c r="I50" s="39">
        <v>0</v>
      </c>
      <c r="J50" s="39">
        <v>0.05</v>
      </c>
      <c r="K50" s="42" t="s">
        <v>112</v>
      </c>
      <c r="M50" s="168" t="s">
        <v>53</v>
      </c>
      <c r="N50" s="39">
        <v>0</v>
      </c>
      <c r="O50" s="39" t="s">
        <v>112</v>
      </c>
      <c r="P50" s="42" t="s">
        <v>112</v>
      </c>
      <c r="Q50" s="39">
        <v>0.05</v>
      </c>
      <c r="R50" s="39" t="s">
        <v>112</v>
      </c>
      <c r="S50" s="42" t="s">
        <v>112</v>
      </c>
      <c r="T50" s="39">
        <v>0.1</v>
      </c>
      <c r="U50" s="39" t="s">
        <v>112</v>
      </c>
      <c r="V50" s="42" t="s">
        <v>112</v>
      </c>
    </row>
    <row r="51" spans="2:22" x14ac:dyDescent="0.3">
      <c r="B51" s="168" t="s">
        <v>53</v>
      </c>
      <c r="C51" s="39">
        <v>0</v>
      </c>
      <c r="D51" s="39">
        <v>0</v>
      </c>
      <c r="E51" s="42" t="s">
        <v>112</v>
      </c>
      <c r="F51" s="39">
        <v>0.1</v>
      </c>
      <c r="G51" s="39">
        <v>0.05</v>
      </c>
      <c r="H51" s="42" t="s">
        <v>112</v>
      </c>
      <c r="I51" s="39">
        <v>0</v>
      </c>
      <c r="J51" s="39">
        <v>0.05</v>
      </c>
      <c r="K51" s="42" t="s">
        <v>112</v>
      </c>
      <c r="M51" s="168" t="s">
        <v>76</v>
      </c>
      <c r="N51" s="39">
        <v>0.2</v>
      </c>
      <c r="O51" s="39" t="s">
        <v>112</v>
      </c>
      <c r="P51" s="42" t="s">
        <v>112</v>
      </c>
      <c r="Q51" s="39">
        <v>0.1</v>
      </c>
      <c r="R51" s="39" t="s">
        <v>112</v>
      </c>
      <c r="S51" s="42" t="s">
        <v>112</v>
      </c>
      <c r="T51" s="39">
        <v>0.05</v>
      </c>
      <c r="U51" s="39" t="s">
        <v>112</v>
      </c>
      <c r="V51" s="42" t="s">
        <v>112</v>
      </c>
    </row>
    <row r="52" spans="2:22" x14ac:dyDescent="0.3">
      <c r="B52" s="165" t="s">
        <v>36</v>
      </c>
      <c r="C52" s="39">
        <v>0.1</v>
      </c>
      <c r="D52" s="39">
        <v>0.05</v>
      </c>
      <c r="E52" s="42" t="s">
        <v>112</v>
      </c>
      <c r="F52" s="39">
        <v>0</v>
      </c>
      <c r="G52" s="39">
        <v>0</v>
      </c>
      <c r="H52" s="42" t="s">
        <v>112</v>
      </c>
      <c r="I52" s="39">
        <v>0.05</v>
      </c>
      <c r="J52" s="39">
        <v>0</v>
      </c>
      <c r="K52" s="42" t="s">
        <v>112</v>
      </c>
      <c r="M52" s="165" t="s">
        <v>36</v>
      </c>
      <c r="N52" s="39">
        <v>0</v>
      </c>
      <c r="O52" s="39" t="s">
        <v>112</v>
      </c>
      <c r="P52" s="42" t="s">
        <v>112</v>
      </c>
      <c r="Q52" s="39">
        <v>0</v>
      </c>
      <c r="R52" s="39" t="s">
        <v>112</v>
      </c>
      <c r="S52" s="42" t="s">
        <v>112</v>
      </c>
      <c r="T52" s="39">
        <v>0</v>
      </c>
      <c r="U52" s="39" t="s">
        <v>112</v>
      </c>
      <c r="V52" s="42" t="s">
        <v>112</v>
      </c>
    </row>
    <row r="53" spans="2:22" x14ac:dyDescent="0.3">
      <c r="B53" s="169"/>
      <c r="C53" s="37"/>
      <c r="D53" s="37"/>
      <c r="E53" s="170"/>
      <c r="F53" s="37"/>
      <c r="G53" s="37"/>
      <c r="H53" s="37"/>
      <c r="I53" s="37"/>
      <c r="J53" s="37"/>
      <c r="K53" s="43"/>
    </row>
    <row r="55" spans="2:22" x14ac:dyDescent="0.3">
      <c r="B55" s="2" t="s">
        <v>29</v>
      </c>
    </row>
    <row r="57" spans="2:22" x14ac:dyDescent="0.3">
      <c r="B57" s="2" t="s">
        <v>91</v>
      </c>
      <c r="M57" s="2" t="s">
        <v>96</v>
      </c>
    </row>
    <row r="58" spans="2:22" x14ac:dyDescent="0.3">
      <c r="B58" s="40"/>
      <c r="C58" s="373" t="s">
        <v>97</v>
      </c>
      <c r="D58" s="373"/>
      <c r="E58" s="374"/>
      <c r="F58" s="373" t="s">
        <v>98</v>
      </c>
      <c r="G58" s="373"/>
      <c r="H58" s="374"/>
      <c r="I58" s="373" t="s">
        <v>109</v>
      </c>
      <c r="J58" s="373"/>
      <c r="K58" s="374"/>
      <c r="M58" s="40"/>
      <c r="N58" s="373" t="s">
        <v>100</v>
      </c>
      <c r="O58" s="373"/>
      <c r="P58" s="374"/>
      <c r="Q58" s="373" t="s">
        <v>110</v>
      </c>
      <c r="R58" s="373"/>
      <c r="S58" s="374"/>
      <c r="T58" s="373" t="s">
        <v>111</v>
      </c>
      <c r="U58" s="373"/>
      <c r="V58" s="374"/>
    </row>
    <row r="59" spans="2:22" x14ac:dyDescent="0.3">
      <c r="B59" s="161"/>
      <c r="C59" s="162" t="s">
        <v>103</v>
      </c>
      <c r="D59" s="163" t="s">
        <v>104</v>
      </c>
      <c r="E59" s="164" t="s">
        <v>105</v>
      </c>
      <c r="F59" s="162" t="s">
        <v>103</v>
      </c>
      <c r="G59" s="163" t="s">
        <v>104</v>
      </c>
      <c r="H59" s="164" t="s">
        <v>105</v>
      </c>
      <c r="I59" s="162" t="s">
        <v>103</v>
      </c>
      <c r="J59" s="163" t="s">
        <v>104</v>
      </c>
      <c r="K59" s="164" t="s">
        <v>105</v>
      </c>
      <c r="M59" s="161"/>
      <c r="N59" s="162" t="s">
        <v>103</v>
      </c>
      <c r="O59" s="163" t="s">
        <v>104</v>
      </c>
      <c r="P59" s="164" t="s">
        <v>105</v>
      </c>
      <c r="Q59" s="162" t="s">
        <v>103</v>
      </c>
      <c r="R59" s="163" t="s">
        <v>104</v>
      </c>
      <c r="S59" s="164" t="s">
        <v>105</v>
      </c>
      <c r="T59" s="162" t="s">
        <v>103</v>
      </c>
      <c r="U59" s="163" t="s">
        <v>104</v>
      </c>
      <c r="V59" s="164" t="s">
        <v>105</v>
      </c>
    </row>
    <row r="60" spans="2:22" x14ac:dyDescent="0.3">
      <c r="B60" s="165" t="s">
        <v>106</v>
      </c>
      <c r="C60" s="38"/>
      <c r="D60" s="166"/>
      <c r="E60" s="167"/>
      <c r="F60" s="38"/>
      <c r="G60" s="38"/>
      <c r="H60" s="41"/>
      <c r="I60" s="38"/>
      <c r="J60" s="38"/>
      <c r="K60" s="41"/>
      <c r="M60" s="165" t="s">
        <v>106</v>
      </c>
      <c r="N60" s="38"/>
      <c r="O60" s="166"/>
      <c r="P60" s="167"/>
      <c r="Q60" s="38"/>
      <c r="R60" s="38"/>
      <c r="S60" s="41"/>
      <c r="T60" s="38"/>
      <c r="U60" s="38"/>
      <c r="V60" s="41"/>
    </row>
    <row r="61" spans="2:22" x14ac:dyDescent="0.3">
      <c r="B61" s="168" t="s">
        <v>51</v>
      </c>
      <c r="C61" s="39">
        <v>0</v>
      </c>
      <c r="D61" s="39" t="s">
        <v>112</v>
      </c>
      <c r="E61" s="42" t="s">
        <v>112</v>
      </c>
      <c r="F61" s="39">
        <v>0</v>
      </c>
      <c r="G61" s="39" t="s">
        <v>112</v>
      </c>
      <c r="H61" s="42" t="s">
        <v>112</v>
      </c>
      <c r="I61" s="39">
        <v>0</v>
      </c>
      <c r="J61" s="39" t="s">
        <v>112</v>
      </c>
      <c r="K61" s="42" t="s">
        <v>112</v>
      </c>
      <c r="M61" s="168" t="s">
        <v>52</v>
      </c>
      <c r="N61" s="39">
        <v>0.2</v>
      </c>
      <c r="O61" s="39" t="s">
        <v>112</v>
      </c>
      <c r="P61" s="42" t="s">
        <v>112</v>
      </c>
      <c r="Q61" s="39">
        <v>0.2</v>
      </c>
      <c r="R61" s="39" t="s">
        <v>112</v>
      </c>
      <c r="S61" s="42" t="s">
        <v>112</v>
      </c>
      <c r="T61" s="39">
        <v>0.2</v>
      </c>
      <c r="U61" s="39" t="s">
        <v>112</v>
      </c>
      <c r="V61" s="42" t="s">
        <v>112</v>
      </c>
    </row>
    <row r="62" spans="2:22" x14ac:dyDescent="0.3">
      <c r="B62" s="168" t="s">
        <v>52</v>
      </c>
      <c r="C62" s="39">
        <v>0.15</v>
      </c>
      <c r="D62" s="39" t="s">
        <v>112</v>
      </c>
      <c r="E62" s="42" t="s">
        <v>112</v>
      </c>
      <c r="F62" s="39">
        <v>0.15</v>
      </c>
      <c r="G62" s="39" t="s">
        <v>112</v>
      </c>
      <c r="H62" s="42" t="s">
        <v>112</v>
      </c>
      <c r="I62" s="39">
        <v>0.15</v>
      </c>
      <c r="J62" s="39" t="s">
        <v>112</v>
      </c>
      <c r="K62" s="42" t="s">
        <v>112</v>
      </c>
      <c r="M62" s="168" t="s">
        <v>53</v>
      </c>
      <c r="N62" s="39">
        <v>0</v>
      </c>
      <c r="O62" s="39" t="s">
        <v>112</v>
      </c>
      <c r="P62" s="42" t="s">
        <v>112</v>
      </c>
      <c r="Q62" s="39">
        <v>0</v>
      </c>
      <c r="R62" s="39" t="s">
        <v>112</v>
      </c>
      <c r="S62" s="42" t="s">
        <v>112</v>
      </c>
      <c r="T62" s="39">
        <v>0</v>
      </c>
      <c r="U62" s="39" t="s">
        <v>112</v>
      </c>
      <c r="V62" s="42" t="s">
        <v>112</v>
      </c>
    </row>
    <row r="63" spans="2:22" x14ac:dyDescent="0.3">
      <c r="B63" s="168" t="s">
        <v>53</v>
      </c>
      <c r="C63" s="39">
        <v>0</v>
      </c>
      <c r="D63" s="39" t="s">
        <v>112</v>
      </c>
      <c r="E63" s="42" t="s">
        <v>112</v>
      </c>
      <c r="F63" s="39">
        <v>0</v>
      </c>
      <c r="G63" s="39" t="s">
        <v>112</v>
      </c>
      <c r="H63" s="42" t="s">
        <v>112</v>
      </c>
      <c r="I63" s="39">
        <v>0</v>
      </c>
      <c r="J63" s="39" t="s">
        <v>112</v>
      </c>
      <c r="K63" s="42" t="s">
        <v>112</v>
      </c>
      <c r="M63" s="168" t="s">
        <v>76</v>
      </c>
      <c r="N63" s="39">
        <v>0</v>
      </c>
      <c r="O63" s="39" t="s">
        <v>112</v>
      </c>
      <c r="P63" s="42" t="s">
        <v>112</v>
      </c>
      <c r="Q63" s="39">
        <v>0</v>
      </c>
      <c r="R63" s="39" t="s">
        <v>112</v>
      </c>
      <c r="S63" s="42" t="s">
        <v>112</v>
      </c>
      <c r="T63" s="39">
        <v>0</v>
      </c>
      <c r="U63" s="39" t="s">
        <v>112</v>
      </c>
      <c r="V63" s="42" t="s">
        <v>112</v>
      </c>
    </row>
    <row r="64" spans="2:22" x14ac:dyDescent="0.3">
      <c r="B64" s="165" t="s">
        <v>36</v>
      </c>
      <c r="C64" s="39">
        <v>0</v>
      </c>
      <c r="D64" s="39" t="s">
        <v>112</v>
      </c>
      <c r="E64" s="42" t="s">
        <v>112</v>
      </c>
      <c r="F64" s="39">
        <v>0</v>
      </c>
      <c r="G64" s="39" t="s">
        <v>112</v>
      </c>
      <c r="H64" s="42" t="s">
        <v>112</v>
      </c>
      <c r="I64" s="39">
        <v>0</v>
      </c>
      <c r="J64" s="39" t="s">
        <v>112</v>
      </c>
      <c r="K64" s="42" t="s">
        <v>112</v>
      </c>
      <c r="M64" s="165" t="s">
        <v>36</v>
      </c>
      <c r="N64" s="39">
        <v>0</v>
      </c>
      <c r="O64" s="39" t="s">
        <v>112</v>
      </c>
      <c r="P64" s="42" t="s">
        <v>112</v>
      </c>
      <c r="Q64" s="39">
        <v>0</v>
      </c>
      <c r="R64" s="39" t="s">
        <v>112</v>
      </c>
      <c r="S64" s="42" t="s">
        <v>112</v>
      </c>
      <c r="T64" s="39">
        <v>0</v>
      </c>
      <c r="U64" s="39" t="s">
        <v>112</v>
      </c>
      <c r="V64" s="42" t="s">
        <v>112</v>
      </c>
    </row>
    <row r="65" spans="2:22" x14ac:dyDescent="0.3">
      <c r="B65" s="169"/>
      <c r="C65" s="37"/>
      <c r="D65" s="37"/>
      <c r="E65" s="170"/>
      <c r="F65" s="37"/>
      <c r="G65" s="37"/>
      <c r="H65" s="37"/>
      <c r="I65" s="37"/>
      <c r="J65" s="37"/>
      <c r="K65" s="43"/>
    </row>
    <row r="67" spans="2:22" x14ac:dyDescent="0.3">
      <c r="B67" s="2" t="s">
        <v>68</v>
      </c>
    </row>
    <row r="69" spans="2:22" x14ac:dyDescent="0.3">
      <c r="B69" s="2" t="s">
        <v>91</v>
      </c>
      <c r="M69" s="2" t="s">
        <v>96</v>
      </c>
    </row>
    <row r="70" spans="2:22" x14ac:dyDescent="0.3">
      <c r="B70" s="40"/>
      <c r="C70" s="373" t="s">
        <v>97</v>
      </c>
      <c r="D70" s="373"/>
      <c r="E70" s="374"/>
      <c r="F70" s="373" t="s">
        <v>98</v>
      </c>
      <c r="G70" s="373"/>
      <c r="H70" s="374"/>
      <c r="I70" s="373" t="s">
        <v>109</v>
      </c>
      <c r="J70" s="373"/>
      <c r="K70" s="374"/>
      <c r="M70" s="40"/>
      <c r="N70" s="373" t="s">
        <v>100</v>
      </c>
      <c r="O70" s="373"/>
      <c r="P70" s="374"/>
      <c r="Q70" s="373" t="s">
        <v>110</v>
      </c>
      <c r="R70" s="373"/>
      <c r="S70" s="374"/>
      <c r="T70" s="373" t="s">
        <v>111</v>
      </c>
      <c r="U70" s="373"/>
      <c r="V70" s="374"/>
    </row>
    <row r="71" spans="2:22" x14ac:dyDescent="0.3">
      <c r="B71" s="161"/>
      <c r="C71" s="162" t="s">
        <v>103</v>
      </c>
      <c r="D71" s="163" t="s">
        <v>104</v>
      </c>
      <c r="E71" s="164" t="s">
        <v>105</v>
      </c>
      <c r="F71" s="162" t="s">
        <v>103</v>
      </c>
      <c r="G71" s="163" t="s">
        <v>104</v>
      </c>
      <c r="H71" s="164" t="s">
        <v>105</v>
      </c>
      <c r="I71" s="162" t="s">
        <v>103</v>
      </c>
      <c r="J71" s="163" t="s">
        <v>104</v>
      </c>
      <c r="K71" s="164" t="s">
        <v>105</v>
      </c>
      <c r="M71" s="161"/>
      <c r="N71" s="162" t="s">
        <v>103</v>
      </c>
      <c r="O71" s="163" t="s">
        <v>104</v>
      </c>
      <c r="P71" s="164" t="s">
        <v>105</v>
      </c>
      <c r="Q71" s="162" t="s">
        <v>103</v>
      </c>
      <c r="R71" s="163" t="s">
        <v>104</v>
      </c>
      <c r="S71" s="164" t="s">
        <v>105</v>
      </c>
      <c r="T71" s="162" t="s">
        <v>103</v>
      </c>
      <c r="U71" s="163" t="s">
        <v>104</v>
      </c>
      <c r="V71" s="164" t="s">
        <v>105</v>
      </c>
    </row>
    <row r="72" spans="2:22" x14ac:dyDescent="0.3">
      <c r="B72" s="165" t="s">
        <v>106</v>
      </c>
      <c r="C72" s="38"/>
      <c r="D72" s="166"/>
      <c r="E72" s="167"/>
      <c r="F72" s="38"/>
      <c r="G72" s="38"/>
      <c r="H72" s="41"/>
      <c r="I72" s="38"/>
      <c r="J72" s="38"/>
      <c r="K72" s="41"/>
      <c r="M72" s="165" t="s">
        <v>106</v>
      </c>
      <c r="N72" s="38"/>
      <c r="O72" s="166"/>
      <c r="P72" s="167"/>
      <c r="Q72" s="38"/>
      <c r="R72" s="38"/>
      <c r="S72" s="41"/>
      <c r="T72" s="38"/>
      <c r="U72" s="38"/>
      <c r="V72" s="41"/>
    </row>
    <row r="73" spans="2:22" x14ac:dyDescent="0.3">
      <c r="B73" s="168" t="s">
        <v>51</v>
      </c>
      <c r="C73" s="39">
        <v>0.1</v>
      </c>
      <c r="D73" s="39">
        <v>0</v>
      </c>
      <c r="E73" s="42" t="s">
        <v>112</v>
      </c>
      <c r="F73" s="39">
        <v>0.1</v>
      </c>
      <c r="G73" s="39">
        <v>0</v>
      </c>
      <c r="H73" s="42" t="s">
        <v>112</v>
      </c>
      <c r="I73" s="39">
        <v>0.15</v>
      </c>
      <c r="J73" s="39">
        <v>0.15</v>
      </c>
      <c r="K73" s="42">
        <v>0.1</v>
      </c>
      <c r="M73" s="168" t="s">
        <v>52</v>
      </c>
      <c r="N73" s="39">
        <v>0</v>
      </c>
      <c r="O73" s="39" t="s">
        <v>112</v>
      </c>
      <c r="P73" s="42" t="s">
        <v>112</v>
      </c>
      <c r="Q73" s="39">
        <v>0.05</v>
      </c>
      <c r="R73" s="39" t="s">
        <v>112</v>
      </c>
      <c r="S73" s="42" t="s">
        <v>112</v>
      </c>
      <c r="T73" s="39">
        <v>0.05</v>
      </c>
      <c r="U73" s="39" t="s">
        <v>112</v>
      </c>
      <c r="V73" s="42" t="s">
        <v>112</v>
      </c>
    </row>
    <row r="74" spans="2:22" x14ac:dyDescent="0.3">
      <c r="B74" s="168" t="s">
        <v>52</v>
      </c>
      <c r="C74" s="39">
        <v>0</v>
      </c>
      <c r="D74" s="39">
        <v>0.15</v>
      </c>
      <c r="E74" s="42" t="s">
        <v>112</v>
      </c>
      <c r="F74" s="39">
        <v>0</v>
      </c>
      <c r="G74" s="39">
        <v>0.15</v>
      </c>
      <c r="H74" s="42" t="s">
        <v>112</v>
      </c>
      <c r="I74" s="39">
        <v>0</v>
      </c>
      <c r="J74" s="39">
        <v>0</v>
      </c>
      <c r="K74" s="42">
        <v>0.05</v>
      </c>
      <c r="M74" s="168" t="s">
        <v>53</v>
      </c>
      <c r="N74" s="39">
        <v>0</v>
      </c>
      <c r="O74" s="39" t="s">
        <v>112</v>
      </c>
      <c r="P74" s="42" t="s">
        <v>112</v>
      </c>
      <c r="Q74" s="39">
        <v>0.05</v>
      </c>
      <c r="R74" s="39" t="s">
        <v>112</v>
      </c>
      <c r="S74" s="42" t="s">
        <v>112</v>
      </c>
      <c r="T74" s="39">
        <v>0.1</v>
      </c>
      <c r="U74" s="39" t="s">
        <v>112</v>
      </c>
      <c r="V74" s="42" t="s">
        <v>112</v>
      </c>
    </row>
    <row r="75" spans="2:22" x14ac:dyDescent="0.3">
      <c r="B75" s="168" t="s">
        <v>53</v>
      </c>
      <c r="C75" s="39">
        <v>0</v>
      </c>
      <c r="D75" s="39">
        <v>0</v>
      </c>
      <c r="E75" s="42" t="s">
        <v>112</v>
      </c>
      <c r="F75" s="39">
        <v>0.1</v>
      </c>
      <c r="G75" s="39">
        <v>0.05</v>
      </c>
      <c r="H75" s="42" t="s">
        <v>112</v>
      </c>
      <c r="I75" s="39">
        <v>0.05</v>
      </c>
      <c r="J75" s="39">
        <v>0</v>
      </c>
      <c r="K75" s="42">
        <v>0.05</v>
      </c>
      <c r="M75" s="168" t="s">
        <v>76</v>
      </c>
      <c r="N75" s="39">
        <v>0.2</v>
      </c>
      <c r="O75" s="39" t="s">
        <v>112</v>
      </c>
      <c r="P75" s="42" t="s">
        <v>112</v>
      </c>
      <c r="Q75" s="39">
        <v>0.1</v>
      </c>
      <c r="R75" s="39" t="s">
        <v>112</v>
      </c>
      <c r="S75" s="42" t="s">
        <v>112</v>
      </c>
      <c r="T75" s="39">
        <v>0.05</v>
      </c>
      <c r="U75" s="39" t="s">
        <v>112</v>
      </c>
      <c r="V75" s="42" t="s">
        <v>112</v>
      </c>
    </row>
    <row r="76" spans="2:22" x14ac:dyDescent="0.3">
      <c r="B76" s="165" t="s">
        <v>36</v>
      </c>
      <c r="C76" s="39">
        <v>0.1</v>
      </c>
      <c r="D76" s="39">
        <v>0.05</v>
      </c>
      <c r="E76" s="42" t="s">
        <v>112</v>
      </c>
      <c r="F76" s="39">
        <v>0</v>
      </c>
      <c r="G76" s="39">
        <v>0</v>
      </c>
      <c r="H76" s="42" t="s">
        <v>112</v>
      </c>
      <c r="I76" s="39">
        <v>0</v>
      </c>
      <c r="J76" s="39">
        <v>0.05</v>
      </c>
      <c r="K76" s="42">
        <v>0</v>
      </c>
      <c r="M76" s="165" t="s">
        <v>36</v>
      </c>
      <c r="N76" s="39">
        <v>0</v>
      </c>
      <c r="O76" s="39" t="s">
        <v>112</v>
      </c>
      <c r="P76" s="42" t="s">
        <v>112</v>
      </c>
      <c r="Q76" s="39">
        <v>0</v>
      </c>
      <c r="R76" s="39" t="s">
        <v>112</v>
      </c>
      <c r="S76" s="42" t="s">
        <v>112</v>
      </c>
      <c r="T76" s="39">
        <v>0</v>
      </c>
      <c r="U76" s="39" t="s">
        <v>112</v>
      </c>
      <c r="V76" s="42" t="s">
        <v>112</v>
      </c>
    </row>
    <row r="77" spans="2:22" x14ac:dyDescent="0.3">
      <c r="B77" s="169"/>
      <c r="C77" s="37"/>
      <c r="D77" s="37"/>
      <c r="E77" s="170"/>
      <c r="F77" s="37"/>
      <c r="G77" s="37"/>
      <c r="H77" s="37"/>
      <c r="I77" s="37"/>
      <c r="J77" s="37"/>
      <c r="K77" s="43"/>
    </row>
    <row r="79" spans="2:22" x14ac:dyDescent="0.3">
      <c r="B79" s="2" t="s">
        <v>88</v>
      </c>
    </row>
    <row r="81" spans="2:22" x14ac:dyDescent="0.3">
      <c r="B81" s="2" t="s">
        <v>91</v>
      </c>
      <c r="M81" s="2" t="s">
        <v>96</v>
      </c>
    </row>
    <row r="82" spans="2:22" x14ac:dyDescent="0.3">
      <c r="B82" s="40"/>
      <c r="C82" s="373" t="s">
        <v>97</v>
      </c>
      <c r="D82" s="373"/>
      <c r="E82" s="374"/>
      <c r="F82" s="373" t="s">
        <v>98</v>
      </c>
      <c r="G82" s="373"/>
      <c r="H82" s="374"/>
      <c r="I82" s="373" t="s">
        <v>109</v>
      </c>
      <c r="J82" s="373"/>
      <c r="K82" s="374"/>
      <c r="M82" s="40"/>
      <c r="N82" s="373" t="s">
        <v>100</v>
      </c>
      <c r="O82" s="373"/>
      <c r="P82" s="374"/>
      <c r="Q82" s="373" t="s">
        <v>110</v>
      </c>
      <c r="R82" s="373"/>
      <c r="S82" s="374"/>
      <c r="T82" s="373" t="s">
        <v>111</v>
      </c>
      <c r="U82" s="373"/>
      <c r="V82" s="374"/>
    </row>
    <row r="83" spans="2:22" x14ac:dyDescent="0.3">
      <c r="B83" s="161"/>
      <c r="C83" s="162" t="s">
        <v>103</v>
      </c>
      <c r="D83" s="163" t="s">
        <v>104</v>
      </c>
      <c r="E83" s="164" t="s">
        <v>105</v>
      </c>
      <c r="F83" s="162" t="s">
        <v>103</v>
      </c>
      <c r="G83" s="163" t="s">
        <v>104</v>
      </c>
      <c r="H83" s="164" t="s">
        <v>105</v>
      </c>
      <c r="I83" s="162" t="s">
        <v>103</v>
      </c>
      <c r="J83" s="163" t="s">
        <v>104</v>
      </c>
      <c r="K83" s="164" t="s">
        <v>105</v>
      </c>
      <c r="M83" s="161"/>
      <c r="N83" s="162" t="s">
        <v>103</v>
      </c>
      <c r="O83" s="163" t="s">
        <v>104</v>
      </c>
      <c r="P83" s="164" t="s">
        <v>105</v>
      </c>
      <c r="Q83" s="162" t="s">
        <v>103</v>
      </c>
      <c r="R83" s="163" t="s">
        <v>104</v>
      </c>
      <c r="S83" s="164" t="s">
        <v>105</v>
      </c>
      <c r="T83" s="162" t="s">
        <v>103</v>
      </c>
      <c r="U83" s="163" t="s">
        <v>104</v>
      </c>
      <c r="V83" s="164" t="s">
        <v>105</v>
      </c>
    </row>
    <row r="84" spans="2:22" x14ac:dyDescent="0.3">
      <c r="B84" s="165" t="s">
        <v>106</v>
      </c>
      <c r="C84" s="38"/>
      <c r="D84" s="166"/>
      <c r="E84" s="167"/>
      <c r="F84" s="38"/>
      <c r="G84" s="38"/>
      <c r="H84" s="41"/>
      <c r="I84" s="38"/>
      <c r="J84" s="38"/>
      <c r="K84" s="41"/>
      <c r="M84" s="165" t="s">
        <v>106</v>
      </c>
      <c r="N84" s="38"/>
      <c r="O84" s="166"/>
      <c r="P84" s="167"/>
      <c r="Q84" s="38"/>
      <c r="R84" s="38"/>
      <c r="S84" s="41"/>
      <c r="T84" s="38"/>
      <c r="U84" s="38"/>
      <c r="V84" s="41"/>
    </row>
    <row r="85" spans="2:22" x14ac:dyDescent="0.3">
      <c r="B85" s="168" t="s">
        <v>51</v>
      </c>
      <c r="C85" s="39">
        <v>0.1</v>
      </c>
      <c r="D85" s="39">
        <v>0</v>
      </c>
      <c r="E85" s="42" t="s">
        <v>112</v>
      </c>
      <c r="F85" s="39">
        <v>0.1</v>
      </c>
      <c r="G85" s="39">
        <v>0</v>
      </c>
      <c r="H85" s="42" t="s">
        <v>112</v>
      </c>
      <c r="I85" s="39">
        <v>0.15</v>
      </c>
      <c r="J85" s="39">
        <v>0.15</v>
      </c>
      <c r="K85" s="42">
        <v>0.1</v>
      </c>
      <c r="M85" s="168" t="s">
        <v>52</v>
      </c>
      <c r="N85" s="39">
        <v>0</v>
      </c>
      <c r="O85" s="39" t="s">
        <v>112</v>
      </c>
      <c r="P85" s="42" t="s">
        <v>112</v>
      </c>
      <c r="Q85" s="39">
        <v>0.05</v>
      </c>
      <c r="R85" s="39" t="s">
        <v>112</v>
      </c>
      <c r="S85" s="42" t="s">
        <v>112</v>
      </c>
      <c r="T85" s="39">
        <v>0.05</v>
      </c>
      <c r="U85" s="39" t="s">
        <v>112</v>
      </c>
      <c r="V85" s="42" t="s">
        <v>112</v>
      </c>
    </row>
    <row r="86" spans="2:22" x14ac:dyDescent="0.3">
      <c r="B86" s="168" t="s">
        <v>52</v>
      </c>
      <c r="C86" s="39">
        <v>0</v>
      </c>
      <c r="D86" s="39">
        <v>0.15</v>
      </c>
      <c r="E86" s="42" t="s">
        <v>112</v>
      </c>
      <c r="F86" s="39">
        <v>0</v>
      </c>
      <c r="G86" s="39">
        <v>0.15</v>
      </c>
      <c r="H86" s="42" t="s">
        <v>112</v>
      </c>
      <c r="I86" s="39">
        <v>0</v>
      </c>
      <c r="J86" s="39">
        <v>0</v>
      </c>
      <c r="K86" s="42">
        <v>0.05</v>
      </c>
      <c r="M86" s="168" t="s">
        <v>53</v>
      </c>
      <c r="N86" s="39">
        <v>0</v>
      </c>
      <c r="O86" s="39" t="s">
        <v>112</v>
      </c>
      <c r="P86" s="42" t="s">
        <v>112</v>
      </c>
      <c r="Q86" s="39">
        <v>0.05</v>
      </c>
      <c r="R86" s="39" t="s">
        <v>112</v>
      </c>
      <c r="S86" s="42" t="s">
        <v>112</v>
      </c>
      <c r="T86" s="39">
        <v>0.1</v>
      </c>
      <c r="U86" s="39" t="s">
        <v>112</v>
      </c>
      <c r="V86" s="42" t="s">
        <v>112</v>
      </c>
    </row>
    <row r="87" spans="2:22" x14ac:dyDescent="0.3">
      <c r="B87" s="168" t="s">
        <v>53</v>
      </c>
      <c r="C87" s="39">
        <v>0</v>
      </c>
      <c r="D87" s="39">
        <v>0</v>
      </c>
      <c r="E87" s="42" t="s">
        <v>112</v>
      </c>
      <c r="F87" s="39">
        <v>0.1</v>
      </c>
      <c r="G87" s="39">
        <v>0.05</v>
      </c>
      <c r="H87" s="42" t="s">
        <v>112</v>
      </c>
      <c r="I87" s="39">
        <v>0.05</v>
      </c>
      <c r="J87" s="39">
        <v>0</v>
      </c>
      <c r="K87" s="42">
        <v>0.05</v>
      </c>
      <c r="M87" s="168" t="s">
        <v>76</v>
      </c>
      <c r="N87" s="39">
        <v>0.2</v>
      </c>
      <c r="O87" s="39" t="s">
        <v>112</v>
      </c>
      <c r="P87" s="42" t="s">
        <v>112</v>
      </c>
      <c r="Q87" s="39">
        <v>0.1</v>
      </c>
      <c r="R87" s="39" t="s">
        <v>112</v>
      </c>
      <c r="S87" s="42" t="s">
        <v>112</v>
      </c>
      <c r="T87" s="39">
        <v>0.05</v>
      </c>
      <c r="U87" s="39" t="s">
        <v>112</v>
      </c>
      <c r="V87" s="42" t="s">
        <v>112</v>
      </c>
    </row>
    <row r="88" spans="2:22" x14ac:dyDescent="0.3">
      <c r="B88" s="165" t="s">
        <v>36</v>
      </c>
      <c r="C88" s="39">
        <v>0.1</v>
      </c>
      <c r="D88" s="39">
        <v>0.05</v>
      </c>
      <c r="E88" s="42" t="s">
        <v>112</v>
      </c>
      <c r="F88" s="39">
        <v>0</v>
      </c>
      <c r="G88" s="39">
        <v>0</v>
      </c>
      <c r="H88" s="42" t="s">
        <v>112</v>
      </c>
      <c r="I88" s="39">
        <v>0</v>
      </c>
      <c r="J88" s="39">
        <v>0.05</v>
      </c>
      <c r="K88" s="42">
        <v>0</v>
      </c>
      <c r="M88" s="165" t="s">
        <v>36</v>
      </c>
      <c r="N88" s="39">
        <v>0</v>
      </c>
      <c r="O88" s="39" t="s">
        <v>112</v>
      </c>
      <c r="P88" s="42" t="s">
        <v>112</v>
      </c>
      <c r="Q88" s="39">
        <v>0</v>
      </c>
      <c r="R88" s="39" t="s">
        <v>112</v>
      </c>
      <c r="S88" s="42" t="s">
        <v>112</v>
      </c>
      <c r="T88" s="39">
        <v>0</v>
      </c>
      <c r="U88" s="39" t="s">
        <v>112</v>
      </c>
      <c r="V88" s="42" t="s">
        <v>112</v>
      </c>
    </row>
    <row r="89" spans="2:22" x14ac:dyDescent="0.3">
      <c r="B89" s="26"/>
      <c r="C89" s="264"/>
      <c r="D89" s="264"/>
      <c r="E89" s="265"/>
      <c r="F89" s="37"/>
      <c r="G89" s="37"/>
      <c r="H89" s="37"/>
      <c r="I89" s="37"/>
      <c r="J89" s="37"/>
      <c r="K89" s="43"/>
    </row>
  </sheetData>
  <sheetProtection sheet="1" objects="1" scenarios="1"/>
  <mergeCells count="36">
    <mergeCell ref="C34:E34"/>
    <mergeCell ref="F34:H34"/>
    <mergeCell ref="I34:K34"/>
    <mergeCell ref="C46:E46"/>
    <mergeCell ref="F46:H46"/>
    <mergeCell ref="I46:K46"/>
    <mergeCell ref="N22:P22"/>
    <mergeCell ref="Q22:S22"/>
    <mergeCell ref="N46:P46"/>
    <mergeCell ref="Q46:S46"/>
    <mergeCell ref="T46:V46"/>
    <mergeCell ref="N34:P34"/>
    <mergeCell ref="Q34:S34"/>
    <mergeCell ref="T34:V34"/>
    <mergeCell ref="T22:V22"/>
    <mergeCell ref="C58:E58"/>
    <mergeCell ref="F58:H58"/>
    <mergeCell ref="I58:K58"/>
    <mergeCell ref="N58:P58"/>
    <mergeCell ref="Q58:S58"/>
    <mergeCell ref="C22:E22"/>
    <mergeCell ref="F22:H22"/>
    <mergeCell ref="I22:K22"/>
    <mergeCell ref="T82:V82"/>
    <mergeCell ref="C82:E82"/>
    <mergeCell ref="F82:H82"/>
    <mergeCell ref="I82:K82"/>
    <mergeCell ref="N82:P82"/>
    <mergeCell ref="Q82:S82"/>
    <mergeCell ref="T58:V58"/>
    <mergeCell ref="C70:E70"/>
    <mergeCell ref="F70:H70"/>
    <mergeCell ref="I70:K70"/>
    <mergeCell ref="N70:P70"/>
    <mergeCell ref="Q70:S70"/>
    <mergeCell ref="T70:V7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DF2C-ED15-411E-9F0B-C0744A5BD25D}">
  <sheetPr>
    <pageSetUpPr fitToPage="1"/>
  </sheetPr>
  <dimension ref="A1:L24"/>
  <sheetViews>
    <sheetView zoomScale="80" zoomScaleNormal="80" workbookViewId="0">
      <pane xSplit="1" ySplit="6" topLeftCell="B7" activePane="bottomRight" state="frozen"/>
      <selection pane="topRight" activeCell="B1" sqref="B1"/>
      <selection pane="bottomLeft" activeCell="A3" sqref="A3"/>
      <selection pane="bottomRight" activeCell="C7" sqref="C7"/>
    </sheetView>
  </sheetViews>
  <sheetFormatPr defaultColWidth="8.7109375" defaultRowHeight="15" x14ac:dyDescent="0.25"/>
  <cols>
    <col min="1" max="1" width="12.7109375" style="27" bestFit="1" customWidth="1"/>
    <col min="2" max="2" width="17.7109375" style="34" customWidth="1"/>
    <col min="3" max="4" width="24.28515625" style="34" customWidth="1"/>
    <col min="5" max="5" width="23.28515625" style="34" customWidth="1"/>
    <col min="6" max="11" width="16.7109375" style="34" customWidth="1"/>
    <col min="12" max="12" width="34.28515625" style="34" bestFit="1" customWidth="1"/>
    <col min="13" max="16384" width="8.7109375" style="34"/>
  </cols>
  <sheetData>
    <row r="1" spans="1:12" ht="18.75" x14ac:dyDescent="0.3">
      <c r="A1" s="35" t="s">
        <v>113</v>
      </c>
    </row>
    <row r="2" spans="1:12" x14ac:dyDescent="0.25">
      <c r="A2" s="36" t="s">
        <v>114</v>
      </c>
    </row>
    <row r="3" spans="1:12" x14ac:dyDescent="0.25">
      <c r="A3" s="270" t="s">
        <v>162</v>
      </c>
    </row>
    <row r="4" spans="1:12" x14ac:dyDescent="0.25">
      <c r="A4" s="36"/>
    </row>
    <row r="5" spans="1:12" s="27" customFormat="1" x14ac:dyDescent="0.25">
      <c r="A5" s="375"/>
      <c r="B5" s="375" t="s">
        <v>115</v>
      </c>
      <c r="C5" s="375" t="s">
        <v>116</v>
      </c>
      <c r="D5" s="375" t="s">
        <v>117</v>
      </c>
      <c r="E5" s="375" t="s">
        <v>118</v>
      </c>
      <c r="F5" s="375" t="s">
        <v>119</v>
      </c>
      <c r="G5" s="375"/>
      <c r="H5" s="375"/>
      <c r="I5" s="375" t="s">
        <v>120</v>
      </c>
      <c r="J5" s="375"/>
      <c r="K5" s="375"/>
      <c r="L5" s="375" t="s">
        <v>121</v>
      </c>
    </row>
    <row r="6" spans="1:12" s="27" customFormat="1" x14ac:dyDescent="0.25">
      <c r="A6" s="375"/>
      <c r="B6" s="375"/>
      <c r="C6" s="375"/>
      <c r="D6" s="375"/>
      <c r="E6" s="375"/>
      <c r="F6" s="28" t="s">
        <v>122</v>
      </c>
      <c r="G6" s="29" t="s">
        <v>123</v>
      </c>
      <c r="H6" s="28" t="s">
        <v>124</v>
      </c>
      <c r="I6" s="28" t="s">
        <v>125</v>
      </c>
      <c r="J6" s="29" t="s">
        <v>126</v>
      </c>
      <c r="K6" s="28" t="s">
        <v>124</v>
      </c>
      <c r="L6" s="375"/>
    </row>
    <row r="7" spans="1:12" ht="180" x14ac:dyDescent="0.25">
      <c r="A7" s="29" t="s">
        <v>127</v>
      </c>
      <c r="B7" s="30" t="s">
        <v>128</v>
      </c>
      <c r="C7" s="31" t="s">
        <v>163</v>
      </c>
      <c r="D7" s="32" t="s">
        <v>129</v>
      </c>
      <c r="E7" s="33" t="s">
        <v>130</v>
      </c>
      <c r="F7" s="32" t="s">
        <v>131</v>
      </c>
      <c r="G7" s="32" t="s">
        <v>132</v>
      </c>
      <c r="H7" s="32" t="s">
        <v>133</v>
      </c>
      <c r="I7" s="32" t="s">
        <v>134</v>
      </c>
      <c r="J7" s="32" t="s">
        <v>135</v>
      </c>
      <c r="K7" s="32" t="s">
        <v>136</v>
      </c>
      <c r="L7" s="32" t="s">
        <v>137</v>
      </c>
    </row>
    <row r="8" spans="1:12" ht="165" x14ac:dyDescent="0.25">
      <c r="A8" s="29" t="s">
        <v>87</v>
      </c>
      <c r="B8" s="30" t="s">
        <v>128</v>
      </c>
      <c r="C8" s="32" t="s">
        <v>138</v>
      </c>
      <c r="D8" s="32" t="s">
        <v>139</v>
      </c>
      <c r="E8" s="33" t="s">
        <v>130</v>
      </c>
      <c r="F8" s="32" t="s">
        <v>131</v>
      </c>
      <c r="G8" s="32" t="s">
        <v>132</v>
      </c>
      <c r="H8" s="32" t="s">
        <v>140</v>
      </c>
      <c r="I8" s="32" t="s">
        <v>134</v>
      </c>
      <c r="J8" s="32" t="s">
        <v>135</v>
      </c>
      <c r="K8" s="32" t="s">
        <v>136</v>
      </c>
      <c r="L8" s="34" t="s">
        <v>141</v>
      </c>
    </row>
    <row r="9" spans="1:12" ht="120" x14ac:dyDescent="0.25">
      <c r="A9" s="29" t="s">
        <v>29</v>
      </c>
      <c r="B9" s="30" t="s">
        <v>142</v>
      </c>
      <c r="C9" s="32" t="s">
        <v>143</v>
      </c>
      <c r="D9" s="32" t="s">
        <v>139</v>
      </c>
      <c r="E9" s="30" t="s">
        <v>144</v>
      </c>
      <c r="F9" s="32" t="s">
        <v>145</v>
      </c>
      <c r="G9" s="32" t="s">
        <v>145</v>
      </c>
      <c r="H9" s="32" t="s">
        <v>145</v>
      </c>
      <c r="I9" s="32" t="s">
        <v>146</v>
      </c>
      <c r="J9" s="32" t="s">
        <v>146</v>
      </c>
      <c r="K9" s="32" t="s">
        <v>146</v>
      </c>
      <c r="L9" s="34" t="s">
        <v>141</v>
      </c>
    </row>
    <row r="10" spans="1:12" ht="180" x14ac:dyDescent="0.25">
      <c r="A10" s="29" t="s">
        <v>68</v>
      </c>
      <c r="B10" s="30" t="s">
        <v>128</v>
      </c>
      <c r="C10" s="32" t="s">
        <v>147</v>
      </c>
      <c r="D10" s="32" t="s">
        <v>139</v>
      </c>
      <c r="E10" s="33" t="s">
        <v>130</v>
      </c>
      <c r="F10" s="32" t="s">
        <v>131</v>
      </c>
      <c r="G10" s="32" t="s">
        <v>132</v>
      </c>
      <c r="H10" s="32" t="s">
        <v>133</v>
      </c>
      <c r="I10" s="32" t="s">
        <v>134</v>
      </c>
      <c r="J10" s="32" t="s">
        <v>135</v>
      </c>
      <c r="K10" s="32" t="s">
        <v>136</v>
      </c>
      <c r="L10" s="34" t="s">
        <v>141</v>
      </c>
    </row>
    <row r="11" spans="1:12" ht="180" x14ac:dyDescent="0.25">
      <c r="A11" s="29" t="s">
        <v>88</v>
      </c>
      <c r="B11" s="30" t="s">
        <v>128</v>
      </c>
      <c r="C11" s="32" t="s">
        <v>148</v>
      </c>
      <c r="D11" s="32" t="s">
        <v>139</v>
      </c>
      <c r="E11" s="33" t="s">
        <v>130</v>
      </c>
      <c r="F11" s="32" t="s">
        <v>131</v>
      </c>
      <c r="G11" s="32" t="s">
        <v>132</v>
      </c>
      <c r="H11" s="32" t="s">
        <v>133</v>
      </c>
      <c r="I11" s="32" t="s">
        <v>134</v>
      </c>
      <c r="J11" s="32" t="s">
        <v>135</v>
      </c>
      <c r="K11" s="32" t="s">
        <v>136</v>
      </c>
      <c r="L11" s="34" t="s">
        <v>141</v>
      </c>
    </row>
    <row r="24" hidden="1" x14ac:dyDescent="0.25"/>
  </sheetData>
  <sheetProtection sheet="1" objects="1" scenarios="1"/>
  <mergeCells count="8">
    <mergeCell ref="I5:K5"/>
    <mergeCell ref="L5:L6"/>
    <mergeCell ref="A5:A6"/>
    <mergeCell ref="B5:B6"/>
    <mergeCell ref="C5:C6"/>
    <mergeCell ref="D5:D6"/>
    <mergeCell ref="E5:E6"/>
    <mergeCell ref="F5:H5"/>
  </mergeCells>
  <pageMargins left="0.25" right="0.25" top="0.33" bottom="0.27" header="0.3" footer="0.3"/>
  <pageSetup paperSize="5"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51287-5CBC-4FCF-9CF3-45299D17A3F9}">
  <dimension ref="B2:M25"/>
  <sheetViews>
    <sheetView zoomScale="150" zoomScaleNormal="150" workbookViewId="0">
      <selection activeCell="E14" sqref="E14"/>
    </sheetView>
  </sheetViews>
  <sheetFormatPr defaultRowHeight="15" x14ac:dyDescent="0.25"/>
  <cols>
    <col min="2" max="3" width="12.7109375" customWidth="1"/>
    <col min="4" max="5" width="16.42578125" customWidth="1"/>
    <col min="6" max="13" width="10.28515625" customWidth="1"/>
  </cols>
  <sheetData>
    <row r="2" spans="2:13" x14ac:dyDescent="0.25">
      <c r="B2" s="69"/>
      <c r="C2" s="69"/>
      <c r="D2" s="69"/>
      <c r="E2" s="69"/>
      <c r="F2" s="376" t="s">
        <v>149</v>
      </c>
      <c r="G2" s="376"/>
      <c r="H2" s="376"/>
      <c r="I2" s="376"/>
      <c r="J2" s="377" t="s">
        <v>150</v>
      </c>
      <c r="K2" s="377"/>
      <c r="L2" s="377"/>
      <c r="M2" s="377"/>
    </row>
    <row r="3" spans="2:13" ht="60" x14ac:dyDescent="0.25">
      <c r="B3" s="73" t="s">
        <v>151</v>
      </c>
      <c r="C3" s="73" t="s">
        <v>59</v>
      </c>
      <c r="D3" s="73" t="s">
        <v>152</v>
      </c>
      <c r="E3" s="73" t="s">
        <v>153</v>
      </c>
      <c r="F3" s="71" t="s">
        <v>154</v>
      </c>
      <c r="G3" s="71" t="s">
        <v>155</v>
      </c>
      <c r="H3" s="71" t="s">
        <v>156</v>
      </c>
      <c r="I3" s="74" t="s">
        <v>157</v>
      </c>
      <c r="J3" s="72" t="s">
        <v>154</v>
      </c>
      <c r="K3" s="72" t="s">
        <v>155</v>
      </c>
      <c r="L3" s="72" t="s">
        <v>156</v>
      </c>
      <c r="M3" s="75" t="s">
        <v>157</v>
      </c>
    </row>
    <row r="4" spans="2:13" x14ac:dyDescent="0.25">
      <c r="B4" s="70">
        <v>4</v>
      </c>
      <c r="C4" s="70">
        <f>B4*20%</f>
        <v>0.8</v>
      </c>
      <c r="D4" s="70">
        <f>ROUNDUP(C4,0)</f>
        <v>1</v>
      </c>
      <c r="E4" s="70" t="s">
        <v>158</v>
      </c>
      <c r="F4" s="71">
        <v>1</v>
      </c>
      <c r="G4" s="71">
        <v>0</v>
      </c>
      <c r="H4" s="71">
        <v>0</v>
      </c>
      <c r="I4" s="71">
        <v>0</v>
      </c>
      <c r="J4" s="72">
        <v>0</v>
      </c>
      <c r="K4" s="72">
        <v>1</v>
      </c>
      <c r="L4" s="72">
        <v>0</v>
      </c>
      <c r="M4" s="72">
        <v>0</v>
      </c>
    </row>
    <row r="5" spans="2:13" x14ac:dyDescent="0.25">
      <c r="B5" s="70">
        <v>5</v>
      </c>
      <c r="C5" s="70">
        <f t="shared" ref="C5:C25" si="0">B5*20%</f>
        <v>1</v>
      </c>
      <c r="D5" s="70">
        <f t="shared" ref="D5:D25" si="1">ROUNDUP(C5,0)</f>
        <v>1</v>
      </c>
      <c r="E5" s="70" t="s">
        <v>158</v>
      </c>
      <c r="F5" s="71">
        <v>1</v>
      </c>
      <c r="G5" s="71">
        <v>0</v>
      </c>
      <c r="H5" s="71">
        <v>0</v>
      </c>
      <c r="I5" s="71">
        <v>0</v>
      </c>
      <c r="J5" s="72">
        <v>0</v>
      </c>
      <c r="K5" s="72">
        <v>1</v>
      </c>
      <c r="L5" s="72">
        <v>0</v>
      </c>
      <c r="M5" s="72">
        <v>0</v>
      </c>
    </row>
    <row r="6" spans="2:13" x14ac:dyDescent="0.25">
      <c r="B6" s="70">
        <v>6</v>
      </c>
      <c r="C6" s="70">
        <f t="shared" si="0"/>
        <v>1.2000000000000002</v>
      </c>
      <c r="D6" s="70">
        <v>1</v>
      </c>
      <c r="E6" s="70">
        <v>0.2</v>
      </c>
      <c r="F6" s="71">
        <v>1</v>
      </c>
      <c r="G6" s="71">
        <v>0</v>
      </c>
      <c r="H6" s="71">
        <v>0</v>
      </c>
      <c r="I6" s="71">
        <v>0</v>
      </c>
      <c r="J6" s="72">
        <v>0</v>
      </c>
      <c r="K6" s="72">
        <v>1</v>
      </c>
      <c r="L6" s="72">
        <v>0</v>
      </c>
      <c r="M6" s="72">
        <v>0</v>
      </c>
    </row>
    <row r="7" spans="2:13" x14ac:dyDescent="0.25">
      <c r="B7" s="70">
        <v>7</v>
      </c>
      <c r="C7" s="70">
        <f t="shared" si="0"/>
        <v>1.4000000000000001</v>
      </c>
      <c r="D7" s="70">
        <v>1</v>
      </c>
      <c r="E7" s="70">
        <v>0.4</v>
      </c>
      <c r="F7" s="71">
        <v>1</v>
      </c>
      <c r="G7" s="71">
        <v>0</v>
      </c>
      <c r="H7" s="71">
        <v>0</v>
      </c>
      <c r="I7" s="71">
        <v>0</v>
      </c>
      <c r="J7" s="72">
        <v>0</v>
      </c>
      <c r="K7" s="72">
        <v>1</v>
      </c>
      <c r="L7" s="72">
        <v>0</v>
      </c>
      <c r="M7" s="72">
        <v>0</v>
      </c>
    </row>
    <row r="8" spans="2:13" x14ac:dyDescent="0.25">
      <c r="B8" s="70">
        <v>8</v>
      </c>
      <c r="C8" s="70">
        <f t="shared" si="0"/>
        <v>1.6</v>
      </c>
      <c r="D8" s="70">
        <v>1</v>
      </c>
      <c r="E8" s="70">
        <v>0.6</v>
      </c>
      <c r="F8" s="71">
        <v>1</v>
      </c>
      <c r="G8" s="71">
        <v>0</v>
      </c>
      <c r="H8" s="71">
        <v>0</v>
      </c>
      <c r="I8" s="71">
        <v>0</v>
      </c>
      <c r="J8" s="72">
        <v>0</v>
      </c>
      <c r="K8" s="72">
        <v>1</v>
      </c>
      <c r="L8" s="72">
        <v>0</v>
      </c>
      <c r="M8" s="72">
        <v>0</v>
      </c>
    </row>
    <row r="9" spans="2:13" x14ac:dyDescent="0.25">
      <c r="B9" s="70">
        <v>9</v>
      </c>
      <c r="C9" s="70">
        <f t="shared" si="0"/>
        <v>1.8</v>
      </c>
      <c r="D9" s="70">
        <f t="shared" si="1"/>
        <v>2</v>
      </c>
      <c r="E9" s="70" t="s">
        <v>158</v>
      </c>
      <c r="F9" s="71">
        <v>1</v>
      </c>
      <c r="G9" s="71">
        <v>0</v>
      </c>
      <c r="H9" s="71">
        <v>0</v>
      </c>
      <c r="I9" s="71">
        <v>1</v>
      </c>
      <c r="J9" s="72">
        <v>0</v>
      </c>
      <c r="K9" s="72">
        <v>2</v>
      </c>
      <c r="L9" s="72">
        <v>0</v>
      </c>
      <c r="M9" s="72">
        <v>0</v>
      </c>
    </row>
    <row r="10" spans="2:13" x14ac:dyDescent="0.25">
      <c r="B10" s="70">
        <v>10</v>
      </c>
      <c r="C10" s="70">
        <f t="shared" si="0"/>
        <v>2</v>
      </c>
      <c r="D10" s="70">
        <f t="shared" si="1"/>
        <v>2</v>
      </c>
      <c r="E10" s="70" t="s">
        <v>158</v>
      </c>
      <c r="F10" s="71">
        <v>1</v>
      </c>
      <c r="G10" s="71">
        <v>0</v>
      </c>
      <c r="H10" s="71">
        <v>0</v>
      </c>
      <c r="I10" s="71">
        <v>1</v>
      </c>
      <c r="J10" s="72">
        <v>0</v>
      </c>
      <c r="K10" s="72">
        <v>2</v>
      </c>
      <c r="L10" s="72">
        <v>0</v>
      </c>
      <c r="M10" s="72">
        <v>0</v>
      </c>
    </row>
    <row r="11" spans="2:13" x14ac:dyDescent="0.25">
      <c r="B11" s="70"/>
      <c r="C11" s="70"/>
      <c r="D11" s="70"/>
      <c r="E11" s="70"/>
      <c r="F11" s="376" t="s">
        <v>159</v>
      </c>
      <c r="G11" s="376"/>
      <c r="H11" s="376"/>
      <c r="I11" s="376"/>
      <c r="J11" s="377" t="s">
        <v>160</v>
      </c>
      <c r="K11" s="377"/>
      <c r="L11" s="377"/>
      <c r="M11" s="377"/>
    </row>
    <row r="12" spans="2:13" x14ac:dyDescent="0.25">
      <c r="B12" s="70">
        <v>11</v>
      </c>
      <c r="C12" s="70">
        <f t="shared" si="0"/>
        <v>2.2000000000000002</v>
      </c>
      <c r="D12" s="70">
        <v>2</v>
      </c>
      <c r="E12" s="70">
        <v>0.2</v>
      </c>
      <c r="F12" s="71">
        <v>1</v>
      </c>
      <c r="G12" s="71">
        <v>0</v>
      </c>
      <c r="H12" s="71">
        <v>1</v>
      </c>
      <c r="I12" s="71">
        <v>0</v>
      </c>
      <c r="J12" s="72">
        <v>0</v>
      </c>
      <c r="K12" s="72">
        <v>2</v>
      </c>
      <c r="L12" s="72">
        <v>0</v>
      </c>
      <c r="M12" s="72">
        <v>0</v>
      </c>
    </row>
    <row r="13" spans="2:13" x14ac:dyDescent="0.25">
      <c r="B13" s="70">
        <v>12</v>
      </c>
      <c r="C13" s="70">
        <f t="shared" si="0"/>
        <v>2.4000000000000004</v>
      </c>
      <c r="D13" s="70">
        <v>2</v>
      </c>
      <c r="E13" s="70">
        <v>0.4</v>
      </c>
      <c r="F13" s="71">
        <v>1</v>
      </c>
      <c r="G13" s="71">
        <v>0</v>
      </c>
      <c r="H13" s="71">
        <v>1</v>
      </c>
      <c r="I13" s="71">
        <v>0</v>
      </c>
      <c r="J13" s="72">
        <v>0</v>
      </c>
      <c r="K13" s="72">
        <v>2</v>
      </c>
      <c r="L13" s="72">
        <v>0</v>
      </c>
      <c r="M13" s="72">
        <v>0</v>
      </c>
    </row>
    <row r="14" spans="2:13" x14ac:dyDescent="0.25">
      <c r="B14" s="70">
        <v>13</v>
      </c>
      <c r="C14" s="70">
        <f t="shared" si="0"/>
        <v>2.6</v>
      </c>
      <c r="D14" s="70">
        <v>2</v>
      </c>
      <c r="E14" s="70">
        <v>0.6</v>
      </c>
      <c r="F14" s="71">
        <v>1</v>
      </c>
      <c r="G14" s="71">
        <v>0</v>
      </c>
      <c r="H14" s="71">
        <v>1</v>
      </c>
      <c r="I14" s="71">
        <v>0</v>
      </c>
      <c r="J14" s="72">
        <v>0</v>
      </c>
      <c r="K14" s="72">
        <v>2</v>
      </c>
      <c r="L14" s="72">
        <v>0</v>
      </c>
      <c r="M14" s="72">
        <v>0</v>
      </c>
    </row>
    <row r="15" spans="2:13" x14ac:dyDescent="0.25">
      <c r="B15" s="70">
        <v>14</v>
      </c>
      <c r="C15" s="70">
        <f t="shared" si="0"/>
        <v>2.8000000000000003</v>
      </c>
      <c r="D15" s="70">
        <f t="shared" si="1"/>
        <v>3</v>
      </c>
      <c r="E15" s="70" t="s">
        <v>158</v>
      </c>
      <c r="F15" s="71">
        <v>2</v>
      </c>
      <c r="G15" s="71">
        <v>0</v>
      </c>
      <c r="H15" s="71">
        <v>1</v>
      </c>
      <c r="I15" s="71">
        <v>0</v>
      </c>
      <c r="J15" s="72">
        <v>0</v>
      </c>
      <c r="K15" s="72">
        <v>2</v>
      </c>
      <c r="L15" s="72">
        <v>1</v>
      </c>
      <c r="M15" s="72">
        <v>0</v>
      </c>
    </row>
    <row r="16" spans="2:13" x14ac:dyDescent="0.25">
      <c r="B16" s="70">
        <v>15</v>
      </c>
      <c r="C16" s="70">
        <f t="shared" si="0"/>
        <v>3</v>
      </c>
      <c r="D16" s="70">
        <f t="shared" si="1"/>
        <v>3</v>
      </c>
      <c r="E16" s="70" t="s">
        <v>158</v>
      </c>
      <c r="F16" s="71">
        <v>2</v>
      </c>
      <c r="G16" s="71">
        <v>0</v>
      </c>
      <c r="H16" s="71">
        <v>1</v>
      </c>
      <c r="I16" s="71">
        <v>0</v>
      </c>
      <c r="J16" s="72">
        <v>0</v>
      </c>
      <c r="K16" s="72">
        <v>2</v>
      </c>
      <c r="L16" s="72">
        <v>1</v>
      </c>
      <c r="M16" s="72">
        <v>0</v>
      </c>
    </row>
    <row r="17" spans="2:13" x14ac:dyDescent="0.25">
      <c r="B17" s="70">
        <v>16</v>
      </c>
      <c r="C17" s="70">
        <f t="shared" si="0"/>
        <v>3.2</v>
      </c>
      <c r="D17" s="70">
        <v>3</v>
      </c>
      <c r="E17" s="70">
        <v>0.2</v>
      </c>
      <c r="F17" s="71">
        <v>2</v>
      </c>
      <c r="G17" s="71">
        <v>0</v>
      </c>
      <c r="H17" s="71">
        <v>1</v>
      </c>
      <c r="I17" s="71">
        <v>0</v>
      </c>
      <c r="J17" s="72">
        <v>0</v>
      </c>
      <c r="K17" s="72">
        <v>2</v>
      </c>
      <c r="L17" s="72">
        <v>1</v>
      </c>
      <c r="M17" s="72">
        <v>0</v>
      </c>
    </row>
    <row r="18" spans="2:13" x14ac:dyDescent="0.25">
      <c r="B18" s="70">
        <v>17</v>
      </c>
      <c r="C18" s="70">
        <f t="shared" si="0"/>
        <v>3.4000000000000004</v>
      </c>
      <c r="D18" s="70">
        <v>3</v>
      </c>
      <c r="E18" s="70">
        <v>0.4</v>
      </c>
      <c r="F18" s="71">
        <v>2</v>
      </c>
      <c r="G18" s="71">
        <v>0</v>
      </c>
      <c r="H18" s="71">
        <v>1</v>
      </c>
      <c r="I18" s="71">
        <v>0</v>
      </c>
      <c r="J18" s="72">
        <v>0</v>
      </c>
      <c r="K18" s="72">
        <v>2</v>
      </c>
      <c r="L18" s="72">
        <v>1</v>
      </c>
      <c r="M18" s="72">
        <v>0</v>
      </c>
    </row>
    <row r="19" spans="2:13" x14ac:dyDescent="0.25">
      <c r="B19" s="70">
        <v>18</v>
      </c>
      <c r="C19" s="70">
        <f t="shared" si="0"/>
        <v>3.6</v>
      </c>
      <c r="D19" s="70">
        <v>3</v>
      </c>
      <c r="E19" s="70">
        <v>0.6</v>
      </c>
      <c r="F19" s="71">
        <v>2</v>
      </c>
      <c r="G19" s="71">
        <v>0</v>
      </c>
      <c r="H19" s="71">
        <v>1</v>
      </c>
      <c r="I19" s="71">
        <v>0</v>
      </c>
      <c r="J19" s="72">
        <v>0</v>
      </c>
      <c r="K19" s="72">
        <v>2</v>
      </c>
      <c r="L19" s="72">
        <v>1</v>
      </c>
      <c r="M19" s="72">
        <v>0</v>
      </c>
    </row>
    <row r="20" spans="2:13" x14ac:dyDescent="0.25">
      <c r="B20" s="70">
        <v>19</v>
      </c>
      <c r="C20" s="70">
        <f t="shared" si="0"/>
        <v>3.8000000000000003</v>
      </c>
      <c r="D20" s="70">
        <f t="shared" si="1"/>
        <v>4</v>
      </c>
      <c r="E20" s="70" t="s">
        <v>158</v>
      </c>
      <c r="F20" s="71">
        <v>2</v>
      </c>
      <c r="G20" s="71">
        <v>0</v>
      </c>
      <c r="H20" s="71">
        <v>2</v>
      </c>
      <c r="I20" s="71">
        <v>0</v>
      </c>
      <c r="J20" s="72">
        <v>0</v>
      </c>
      <c r="K20" s="72">
        <v>3</v>
      </c>
      <c r="L20" s="72">
        <v>1</v>
      </c>
      <c r="M20" s="72">
        <v>0</v>
      </c>
    </row>
    <row r="21" spans="2:13" x14ac:dyDescent="0.25">
      <c r="B21" s="70">
        <v>20</v>
      </c>
      <c r="C21" s="70">
        <f t="shared" si="0"/>
        <v>4</v>
      </c>
      <c r="D21" s="70">
        <f t="shared" si="1"/>
        <v>4</v>
      </c>
      <c r="E21" s="70" t="s">
        <v>158</v>
      </c>
      <c r="F21" s="71">
        <v>2</v>
      </c>
      <c r="G21" s="71">
        <v>0</v>
      </c>
      <c r="H21" s="71">
        <v>2</v>
      </c>
      <c r="I21" s="71">
        <v>0</v>
      </c>
      <c r="J21" s="72">
        <v>0</v>
      </c>
      <c r="K21" s="72">
        <v>3</v>
      </c>
      <c r="L21" s="72">
        <v>1</v>
      </c>
      <c r="M21" s="72">
        <v>0</v>
      </c>
    </row>
    <row r="22" spans="2:13" x14ac:dyDescent="0.25">
      <c r="B22" s="70">
        <v>21</v>
      </c>
      <c r="C22" s="70">
        <f t="shared" si="0"/>
        <v>4.2</v>
      </c>
      <c r="D22" s="70">
        <v>5</v>
      </c>
      <c r="E22" s="70" t="s">
        <v>158</v>
      </c>
      <c r="F22" s="71">
        <v>3</v>
      </c>
      <c r="G22" s="71">
        <v>0</v>
      </c>
      <c r="H22" s="71">
        <v>2</v>
      </c>
      <c r="I22" s="71">
        <v>0</v>
      </c>
      <c r="J22" s="72">
        <v>0</v>
      </c>
      <c r="K22" s="72">
        <v>4</v>
      </c>
      <c r="L22" s="72">
        <v>1</v>
      </c>
      <c r="M22" s="72">
        <v>0</v>
      </c>
    </row>
    <row r="23" spans="2:13" x14ac:dyDescent="0.25">
      <c r="B23" s="70">
        <v>22</v>
      </c>
      <c r="C23" s="70">
        <f t="shared" si="0"/>
        <v>4.4000000000000004</v>
      </c>
      <c r="D23" s="70">
        <f t="shared" si="1"/>
        <v>5</v>
      </c>
      <c r="E23" s="70" t="s">
        <v>158</v>
      </c>
      <c r="F23" s="71">
        <v>3</v>
      </c>
      <c r="G23" s="71">
        <v>0</v>
      </c>
      <c r="H23" s="71">
        <v>2</v>
      </c>
      <c r="I23" s="71">
        <v>0</v>
      </c>
      <c r="J23" s="72">
        <v>0</v>
      </c>
      <c r="K23" s="72">
        <v>4</v>
      </c>
      <c r="L23" s="72">
        <v>1</v>
      </c>
      <c r="M23" s="72">
        <v>0</v>
      </c>
    </row>
    <row r="24" spans="2:13" x14ac:dyDescent="0.25">
      <c r="B24" s="70">
        <v>23</v>
      </c>
      <c r="C24" s="70">
        <f t="shared" si="0"/>
        <v>4.6000000000000005</v>
      </c>
      <c r="D24" s="70">
        <f t="shared" si="1"/>
        <v>5</v>
      </c>
      <c r="E24" s="70" t="s">
        <v>158</v>
      </c>
      <c r="F24" s="71">
        <v>3</v>
      </c>
      <c r="G24" s="71">
        <v>0</v>
      </c>
      <c r="H24" s="71">
        <v>2</v>
      </c>
      <c r="I24" s="71">
        <v>0</v>
      </c>
      <c r="J24" s="72">
        <v>0</v>
      </c>
      <c r="K24" s="72">
        <v>4</v>
      </c>
      <c r="L24" s="72">
        <v>1</v>
      </c>
      <c r="M24" s="72">
        <v>0</v>
      </c>
    </row>
    <row r="25" spans="2:13" x14ac:dyDescent="0.25">
      <c r="B25" s="70">
        <v>24</v>
      </c>
      <c r="C25" s="70">
        <f t="shared" si="0"/>
        <v>4.8000000000000007</v>
      </c>
      <c r="D25" s="70">
        <f t="shared" si="1"/>
        <v>5</v>
      </c>
      <c r="E25" s="70" t="s">
        <v>158</v>
      </c>
      <c r="F25" s="71">
        <v>3</v>
      </c>
      <c r="G25" s="71">
        <v>0</v>
      </c>
      <c r="H25" s="71">
        <v>2</v>
      </c>
      <c r="I25" s="71">
        <v>0</v>
      </c>
      <c r="J25" s="72">
        <v>0</v>
      </c>
      <c r="K25" s="72">
        <v>4</v>
      </c>
      <c r="L25" s="72">
        <v>1</v>
      </c>
      <c r="M25" s="72">
        <v>0</v>
      </c>
    </row>
  </sheetData>
  <mergeCells count="4">
    <mergeCell ref="F2:I2"/>
    <mergeCell ref="J2:M2"/>
    <mergeCell ref="F11:I11"/>
    <mergeCell ref="J11:M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6245eb-0770-4887-a5b9-2bbf5fbe82a2" xsi:nil="true"/>
    <lcf76f155ced4ddcb4097134ff3c332f xmlns="a6dc372b-8be3-46ed-acde-eea3534963c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33100F8B80E140B2B174C25A9B6CFF" ma:contentTypeVersion="18" ma:contentTypeDescription="Create a new document." ma:contentTypeScope="" ma:versionID="e601b1c08cd466c2a9f1f231a2afd42f">
  <xsd:schema xmlns:xsd="http://www.w3.org/2001/XMLSchema" xmlns:xs="http://www.w3.org/2001/XMLSchema" xmlns:p="http://schemas.microsoft.com/office/2006/metadata/properties" xmlns:ns2="a6dc372b-8be3-46ed-acde-eea3534963c7" xmlns:ns3="9f6245eb-0770-4887-a5b9-2bbf5fbe82a2" targetNamespace="http://schemas.microsoft.com/office/2006/metadata/properties" ma:root="true" ma:fieldsID="ee533765940d9c49bee0b444904c9361" ns2:_="" ns3:_="">
    <xsd:import namespace="a6dc372b-8be3-46ed-acde-eea3534963c7"/>
    <xsd:import namespace="9f6245eb-0770-4887-a5b9-2bbf5fbe82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dc372b-8be3-46ed-acde-eea3534963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f4f5c77-49ae-499d-ac1d-baf367469f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6245eb-0770-4887-a5b9-2bbf5fbe82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21f7d7-d717-4a55-a8d8-83ab30964cdb}" ma:internalName="TaxCatchAll" ma:showField="CatchAllData" ma:web="9f6245eb-0770-4887-a5b9-2bbf5fbe82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CDAF00-4C41-44D4-858A-8A975E209A04}">
  <ds:schemaRefs>
    <ds:schemaRef ds:uri="http://schemas.microsoft.com/office/2006/metadata/properties"/>
    <ds:schemaRef ds:uri="http://purl.org/dc/terms/"/>
    <ds:schemaRef ds:uri="http://www.w3.org/XML/1998/namespace"/>
    <ds:schemaRef ds:uri="http://schemas.openxmlformats.org/package/2006/metadata/core-properties"/>
    <ds:schemaRef ds:uri="a6dc372b-8be3-46ed-acde-eea3534963c7"/>
    <ds:schemaRef ds:uri="http://schemas.microsoft.com/office/infopath/2007/PartnerControls"/>
    <ds:schemaRef ds:uri="http://purl.org/dc/dcmitype/"/>
    <ds:schemaRef ds:uri="http://schemas.microsoft.com/office/2006/documentManagement/types"/>
    <ds:schemaRef ds:uri="9f6245eb-0770-4887-a5b9-2bbf5fbe82a2"/>
    <ds:schemaRef ds:uri="http://purl.org/dc/elements/1.1/"/>
  </ds:schemaRefs>
</ds:datastoreItem>
</file>

<file path=customXml/itemProps2.xml><?xml version="1.0" encoding="utf-8"?>
<ds:datastoreItem xmlns:ds="http://schemas.openxmlformats.org/officeDocument/2006/customXml" ds:itemID="{54C093FD-5619-4639-9A56-69FBBAF037F8}">
  <ds:schemaRefs>
    <ds:schemaRef ds:uri="http://schemas.microsoft.com/sharepoint/v3/contenttype/forms"/>
  </ds:schemaRefs>
</ds:datastoreItem>
</file>

<file path=customXml/itemProps3.xml><?xml version="1.0" encoding="utf-8"?>
<ds:datastoreItem xmlns:ds="http://schemas.openxmlformats.org/officeDocument/2006/customXml" ds:itemID="{6AAA1CDC-CE10-4613-8314-0D994000B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dc372b-8be3-46ed-acde-eea3534963c7"/>
    <ds:schemaRef ds:uri="9f6245eb-0770-4887-a5b9-2bbf5fbe8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UsefulFormats</vt:lpstr>
      <vt:lpstr>Intro</vt:lpstr>
      <vt:lpstr>Worksheet for RENTAL</vt:lpstr>
      <vt:lpstr>Worksheet for OWNERSHIP</vt:lpstr>
      <vt:lpstr>Worksheet for OWNERSHIP (old)</vt:lpstr>
      <vt:lpstr>Policy Parameters</vt:lpstr>
      <vt:lpstr>Data Tables</vt:lpstr>
      <vt:lpstr>Policy Summary</vt:lpstr>
      <vt:lpstr>Sheet2</vt:lpstr>
      <vt:lpstr>'Worksheet for OWNERSHIP'!Print_Area</vt:lpstr>
      <vt:lpstr>'Worksheet for OWNERSHIP (old)'!Print_Area</vt:lpstr>
      <vt:lpstr>'Worksheet for RENTAL'!Print_Area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jac16_000</dc:creator>
  <cp:keywords/>
  <dc:description/>
  <cp:lastModifiedBy>Edgardo Vazquez</cp:lastModifiedBy>
  <cp:revision/>
  <cp:lastPrinted>2026-05-13T17:09:18Z</cp:lastPrinted>
  <dcterms:created xsi:type="dcterms:W3CDTF">2020-02-21T00:52:39Z</dcterms:created>
  <dcterms:modified xsi:type="dcterms:W3CDTF">2026-06-23T21:33:05Z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0x0101003733100F8B80E140B2B174C25A9B6CFF</vt:lpwstr>
  </property>
  <property fmtid="{D5CDD505-2E9C-101B-9397-08002B2CF9AE}" pid="3" name="MediaServiceImageTags">
    <vt:lpwstr/>
  </property>
</Properties>
</file>